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240" windowWidth="8730" windowHeight="4140" tabRatio="650" activeTab="2"/>
  </bookViews>
  <sheets>
    <sheet name="Face sheet" sheetId="58" r:id="rId1"/>
    <sheet name="G.Abs" sheetId="59" r:id="rId2"/>
    <sheet name="(Abs)" sheetId="55" r:id="rId3"/>
    <sheet name="Mes" sheetId="56" r:id="rId4"/>
    <sheet name="Bar Bending Schedule" sheetId="61" r:id="rId5"/>
    <sheet name="Sheet1" sheetId="60" r:id="rId6"/>
  </sheets>
  <definedNames>
    <definedName name="_xlnm.Print_Area" localSheetId="2">'(Abs)'!$A$1:$K$119</definedName>
    <definedName name="_xlnm.Print_Area" localSheetId="4">'Bar Bending Schedule'!$A$1:$K$152</definedName>
    <definedName name="_xlnm.Print_Area" localSheetId="3">Mes!$A$1:$K$195</definedName>
    <definedName name="_xlnm.Print_Titles" localSheetId="2">'(Abs)'!$5:$5</definedName>
    <definedName name="_xlnm.Print_Titles" localSheetId="4">'Bar Bending Schedule'!$6:$6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33" i="55" l="1"/>
  <c r="J33" i="55"/>
  <c r="D91" i="55" l="1"/>
  <c r="D87" i="55"/>
  <c r="J87" i="55" s="1"/>
  <c r="D82" i="55" l="1"/>
  <c r="J82" i="55"/>
  <c r="D79" i="55"/>
  <c r="J79" i="55"/>
  <c r="D76" i="55"/>
  <c r="J76" i="55"/>
  <c r="D73" i="55"/>
  <c r="J73" i="55"/>
  <c r="D71" i="55" l="1"/>
  <c r="J71" i="55" s="1"/>
  <c r="D67" i="55"/>
  <c r="D60" i="55"/>
  <c r="J60" i="55" s="1"/>
  <c r="D51" i="55" l="1"/>
  <c r="J51" i="55" s="1"/>
  <c r="D48" i="55"/>
  <c r="J48" i="55" s="1"/>
  <c r="D45" i="55" l="1"/>
  <c r="J45" i="55"/>
  <c r="D40" i="55"/>
  <c r="J40" i="55" s="1"/>
  <c r="D36" i="55" l="1"/>
  <c r="D26" i="55"/>
  <c r="D20" i="55"/>
  <c r="J181" i="56"/>
  <c r="J164" i="56"/>
  <c r="J148" i="56"/>
  <c r="J143" i="56"/>
  <c r="J150" i="56" s="1"/>
  <c r="J134" i="56"/>
  <c r="J125" i="56"/>
  <c r="J124" i="56"/>
  <c r="J122" i="56"/>
  <c r="J113" i="56"/>
  <c r="J103" i="56"/>
  <c r="J108" i="56" s="1"/>
  <c r="J158" i="56" s="1"/>
  <c r="J159" i="56" s="1"/>
  <c r="J90" i="56"/>
  <c r="J93" i="56" s="1"/>
  <c r="J98" i="56" s="1"/>
  <c r="J153" i="56" s="1"/>
  <c r="J86" i="56"/>
  <c r="J172" i="56" s="1"/>
  <c r="J126" i="56" l="1"/>
  <c r="J128" i="56" s="1"/>
  <c r="J110" i="56"/>
  <c r="J178" i="56" s="1"/>
  <c r="J81" i="56"/>
  <c r="J75" i="56"/>
  <c r="J83" i="56" s="1"/>
  <c r="J175" i="56" s="1"/>
  <c r="J58" i="56"/>
  <c r="J52" i="56"/>
  <c r="J39" i="56"/>
  <c r="J25" i="56"/>
  <c r="J54" i="56" l="1"/>
  <c r="J60" i="56" s="1"/>
  <c r="J168" i="56" s="1"/>
  <c r="J115" i="61" l="1"/>
  <c r="J112" i="61"/>
  <c r="J111" i="61"/>
  <c r="J110" i="61"/>
  <c r="J109" i="61"/>
  <c r="J108" i="61"/>
  <c r="J107" i="61"/>
  <c r="J106" i="61"/>
  <c r="J105" i="61"/>
  <c r="J104" i="61"/>
  <c r="J103" i="61"/>
  <c r="J102" i="61"/>
  <c r="J101" i="61"/>
  <c r="J100" i="61"/>
  <c r="J99" i="61"/>
  <c r="J98" i="61"/>
  <c r="J97" i="61"/>
  <c r="J96" i="61"/>
  <c r="J95" i="61"/>
  <c r="J94" i="61"/>
  <c r="J93" i="61"/>
  <c r="J92" i="61"/>
  <c r="J91" i="61"/>
  <c r="J90" i="61"/>
  <c r="J89" i="61"/>
  <c r="J88" i="61"/>
  <c r="J87" i="61"/>
  <c r="J86" i="61"/>
  <c r="J85" i="61"/>
  <c r="J84" i="61"/>
  <c r="J83" i="61"/>
  <c r="J82" i="61"/>
  <c r="J81" i="61"/>
  <c r="J80" i="61"/>
  <c r="J79" i="61"/>
  <c r="J78" i="61"/>
  <c r="J77" i="61"/>
  <c r="J76" i="61"/>
  <c r="J75" i="61"/>
  <c r="J74" i="61"/>
  <c r="J73" i="61"/>
  <c r="J72" i="61"/>
  <c r="J71" i="61"/>
  <c r="J70" i="61"/>
  <c r="J69" i="61"/>
  <c r="J68" i="61"/>
  <c r="J67" i="61"/>
  <c r="J66" i="61"/>
  <c r="J65" i="61"/>
  <c r="J64" i="61"/>
  <c r="J63" i="61"/>
  <c r="J62" i="61"/>
  <c r="J61" i="61"/>
  <c r="J60" i="61"/>
  <c r="J59" i="61"/>
  <c r="J58" i="61"/>
  <c r="J57" i="61"/>
  <c r="J56" i="61"/>
  <c r="J55" i="61"/>
  <c r="J54" i="61"/>
  <c r="J52" i="61"/>
  <c r="J47" i="61"/>
  <c r="J46" i="61"/>
  <c r="J45" i="61"/>
  <c r="J44" i="61"/>
  <c r="J43" i="61"/>
  <c r="J42" i="61"/>
  <c r="J41" i="61"/>
  <c r="J40" i="61"/>
  <c r="J39" i="61"/>
  <c r="J38" i="61"/>
  <c r="J37" i="61"/>
  <c r="J36" i="61"/>
  <c r="J35" i="61"/>
  <c r="J34" i="61"/>
  <c r="J33" i="61"/>
  <c r="J32" i="61"/>
  <c r="J31" i="61"/>
  <c r="J30" i="61"/>
  <c r="J29" i="61"/>
  <c r="J28" i="61"/>
  <c r="J27" i="61"/>
  <c r="J26" i="61"/>
  <c r="J25" i="61"/>
  <c r="J22" i="61"/>
  <c r="J21" i="61"/>
  <c r="J20" i="61"/>
  <c r="J19" i="61"/>
  <c r="J18" i="61"/>
  <c r="J17" i="61"/>
  <c r="J16" i="61"/>
  <c r="J15" i="61"/>
  <c r="J14" i="61"/>
  <c r="J13" i="61"/>
  <c r="J12" i="61"/>
  <c r="J11" i="61"/>
  <c r="J10" i="61"/>
  <c r="J9" i="61"/>
  <c r="J23" i="61" l="1"/>
  <c r="J48" i="61"/>
  <c r="J50" i="61" s="1"/>
  <c r="J113" i="61" l="1"/>
  <c r="J36" i="55" l="1"/>
  <c r="J91" i="55" l="1"/>
  <c r="J67" i="55" l="1"/>
  <c r="J26" i="55"/>
  <c r="J20" i="55"/>
  <c r="J93" i="55" l="1"/>
  <c r="H11" i="59" s="1"/>
  <c r="H21" i="59" l="1"/>
</calcChain>
</file>

<file path=xl/sharedStrings.xml><?xml version="1.0" encoding="utf-8"?>
<sst xmlns="http://schemas.openxmlformats.org/spreadsheetml/2006/main" count="891" uniqueCount="479">
  <si>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</si>
  <si>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</si>
  <si>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</si>
  <si>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</si>
  <si>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</si>
  <si>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</si>
  <si>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</si>
  <si>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</si>
  <si>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</si>
  <si>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</si>
  <si>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</si>
  <si>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</si>
  <si>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</si>
  <si>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</si>
  <si>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</si>
  <si>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</si>
  <si>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</si>
  <si>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</si>
  <si>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</si>
  <si>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</si>
  <si>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</si>
  <si>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</si>
  <si>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</si>
  <si>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</si>
  <si>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</si>
  <si>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</si>
  <si>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</si>
  <si>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</si>
  <si>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</si>
  <si>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</si>
  <si>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</si>
  <si>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</si>
  <si>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</si>
  <si>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</si>
  <si>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</si>
  <si>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</si>
  <si>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</si>
  <si>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</si>
  <si>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</si>
  <si>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</si>
  <si>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</si>
  <si>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</si>
  <si>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</si>
  <si>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</si>
  <si>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</si>
  <si>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</si>
  <si>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</si>
  <si>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</si>
  <si>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</si>
  <si>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</si>
  <si>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Part A(i)Total</t>
  </si>
  <si>
    <t>KARACHI.</t>
  </si>
  <si>
    <t>EXECUTIVE  ENGINEER</t>
  </si>
  <si>
    <t>ASSISTANT  ENGINEER</t>
  </si>
  <si>
    <t>G.Total Rs</t>
  </si>
  <si>
    <t>Schedule Items</t>
  </si>
  <si>
    <t>(i)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</si>
  <si>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</si>
  <si>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</si>
  <si>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</si>
  <si>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</si>
  <si>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</si>
  <si>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</si>
  <si>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</si>
  <si>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</si>
  <si>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PART (A) Civil Work)</t>
  </si>
  <si>
    <t>% Sft</t>
  </si>
  <si>
    <t>EXECUTIVE ENGINEER</t>
  </si>
  <si>
    <t>Prov: Bldg Sub-Division.VII</t>
  </si>
  <si>
    <t>Provincial Building Division-II</t>
  </si>
  <si>
    <t>"  "</t>
  </si>
  <si>
    <t>Cement Plaster 1:4 upto 12' Height.</t>
  </si>
  <si>
    <t>(c ) 3/4" thick (S.I.No.13(c)/P-52</t>
  </si>
  <si>
    <t>PART (A)Foundation</t>
  </si>
  <si>
    <t>Cft</t>
  </si>
  <si>
    <t>P/L C.C 1:3:6 Solid Block Masonry in foundation</t>
  </si>
  <si>
    <t>"</t>
  </si>
  <si>
    <t>R.C.C Work i/c all labour Ratio 1:2:4</t>
  </si>
  <si>
    <t>Cement Plaster 1:4 3/4" thick</t>
  </si>
  <si>
    <t>Fabrication ofmild steel Tor Bars</t>
  </si>
  <si>
    <t>Coloumns</t>
  </si>
  <si>
    <t>Distempering three Coats</t>
  </si>
  <si>
    <t>Qty same as Item No. 01</t>
  </si>
  <si>
    <t>Preparing the surface &amp; painting with weather Coat</t>
  </si>
  <si>
    <t>BAR BENDING SCHEDULE</t>
  </si>
  <si>
    <t>PART A FOUNDATION</t>
  </si>
  <si>
    <t>A- Footring</t>
  </si>
  <si>
    <t>CF-1 T &amp; B 5/8 "</t>
  </si>
  <si>
    <t>T &amp; B 5/8" dia</t>
  </si>
  <si>
    <t>CF1 T&amp;B 5/8" dia</t>
  </si>
  <si>
    <t>CF2 T &amp; B 5/8" dia</t>
  </si>
  <si>
    <t>Pedestal C1 5/8" dia</t>
  </si>
  <si>
    <t>1x2x13.50x0.667</t>
  </si>
  <si>
    <t>1x2x12.50x0.667</t>
  </si>
  <si>
    <t>1x4x25.0x1.042</t>
  </si>
  <si>
    <t>1x40x5.0x0.375</t>
  </si>
  <si>
    <t>Rings 3/8" dia</t>
  </si>
  <si>
    <t>Plinth B-2 T &amp; B 5/8" dia</t>
  </si>
  <si>
    <t>Plinth B-3 T &amp; B 5/8" dia</t>
  </si>
  <si>
    <t>Plinth B-4 T &amp; B 5/8" dia</t>
  </si>
  <si>
    <t>Extra 1/2" dia</t>
  </si>
  <si>
    <t>Plinth B-5 T &amp; B 5/8" dia</t>
  </si>
  <si>
    <t>Plinth b-6 T&amp;B 5/8" dia</t>
  </si>
  <si>
    <t>Plinth B7 T &amp; B 5/8" dia</t>
  </si>
  <si>
    <t>Plinth b-8 T&amp;B 5/8" dia</t>
  </si>
  <si>
    <t>Plinth B-9 T &amp; B 5/8" dia</t>
  </si>
  <si>
    <t>Plinth B-10 T &amp; B 5/8" dia</t>
  </si>
  <si>
    <t>Ground Floor</t>
  </si>
  <si>
    <t>Rings</t>
  </si>
  <si>
    <t>Cloumns 5/8" dia</t>
  </si>
  <si>
    <t>1x42x9.0x0.375</t>
  </si>
  <si>
    <t>2x10x2.50x0.375</t>
  </si>
  <si>
    <t>1x38x17.50x0.667</t>
  </si>
  <si>
    <t>1x10x2.50x0.375</t>
  </si>
  <si>
    <t>RB-1 T &amp; B 5/8" dia</t>
  </si>
  <si>
    <t xml:space="preserve">Mid </t>
  </si>
  <si>
    <t xml:space="preserve">Rings </t>
  </si>
  <si>
    <t>RB-2 T &amp; B 5/8" dia</t>
  </si>
  <si>
    <t>Mid 1/2" dia</t>
  </si>
  <si>
    <t>RB-3 T &amp; B 5/8" dia</t>
  </si>
  <si>
    <t>Extra</t>
  </si>
  <si>
    <t>Mid</t>
  </si>
  <si>
    <t>RB--4 T&amp;B 5/8" dia</t>
  </si>
  <si>
    <t>RB-5 T&amp;B 5/8" dia</t>
  </si>
  <si>
    <t>RB-6 T&amp;B 5/8" dia</t>
  </si>
  <si>
    <t>RB-7 T&amp;B 5/8" dia</t>
  </si>
  <si>
    <t>RB-8 T&amp;B 5/8" dia</t>
  </si>
  <si>
    <t>RB-9 T&amp;B 5/8" dia</t>
  </si>
  <si>
    <t>RB-10 T&amp;B 5/8" dia</t>
  </si>
  <si>
    <t>Dist 1/2" dia</t>
  </si>
  <si>
    <t>Lbs</t>
  </si>
  <si>
    <t>Cwt</t>
  </si>
  <si>
    <t>% Cft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</si>
  <si>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</si>
  <si>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</si>
  <si>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</si>
  <si>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</si>
  <si>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</si>
  <si>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</si>
  <si>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</si>
  <si>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</si>
  <si>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</si>
  <si>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</si>
  <si>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</si>
  <si>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</si>
  <si>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(S.I.No. 6-a-i P-18).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</si>
  <si>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</si>
  <si>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</si>
  <si>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</si>
  <si>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</si>
  <si>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</si>
  <si>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</si>
  <si>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(S.I.No. 7-b P-20)</t>
  </si>
  <si>
    <t>P.Cwt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</si>
  <si>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</si>
  <si>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</si>
  <si>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</si>
  <si>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</si>
  <si>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</si>
  <si>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</si>
  <si>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</si>
  <si>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</si>
  <si>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</si>
  <si>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(S.I.No. 24-b P-54).</t>
  </si>
  <si>
    <t>%Sft</t>
  </si>
  <si>
    <t>Distempering. Three coats.</t>
  </si>
  <si>
    <t xml:space="preserve">Preparing the surface and painting with </t>
  </si>
  <si>
    <t>weather coat i/c rubbing the surface with</t>
  </si>
  <si>
    <t>rubbing brick / sand paper, filling the voids</t>
  </si>
  <si>
    <t xml:space="preserve">with chalk / plaster of paris and then </t>
  </si>
  <si>
    <t xml:space="preserve">painting with approved make. (b) 2nd </t>
  </si>
  <si>
    <t>subsequent coat(S.I.No.38(a+b+b)/P-56)</t>
  </si>
  <si>
    <t>Preparing new surface © Painting to doors</t>
  </si>
  <si>
    <t>and windows any type (including edges in</t>
  </si>
  <si>
    <t>three coats (S.I.No. 5-c(I+ii+iii P-67).</t>
  </si>
  <si>
    <t>%Sft.</t>
  </si>
  <si>
    <t>Chairs 3/8" dia</t>
  </si>
  <si>
    <t>1x2x160x7.50x1.042</t>
  </si>
  <si>
    <t>1x2x18x54.0x1.042</t>
  </si>
  <si>
    <t>1x2x33x7.50x1.042</t>
  </si>
  <si>
    <t>1x2x18x12.50x1.042</t>
  </si>
  <si>
    <t>1x2x160x6.50x1.042</t>
  </si>
  <si>
    <t>1x2x15x54.0x1.042</t>
  </si>
  <si>
    <t>1x2x30x6.50x1.042</t>
  </si>
  <si>
    <t>1x2x15x11.50x1.042</t>
  </si>
  <si>
    <t>1x2x32x6.50x1.042</t>
  </si>
  <si>
    <t>1x2x15x12.0x1.042</t>
  </si>
  <si>
    <t>2x2x50x5.50x1.042</t>
  </si>
  <si>
    <t>2x2x12x18.0x1.042</t>
  </si>
  <si>
    <t>21x8x11.0x1.042</t>
  </si>
  <si>
    <t>21x2x17x4.0x0.375</t>
  </si>
  <si>
    <t>CF3 T &amp; B 5/8" dia</t>
  </si>
  <si>
    <t>B=Plinth Beam</t>
  </si>
  <si>
    <t>Plinth B-1 T &amp; B 5/8" dia</t>
  </si>
  <si>
    <t>4x4x18.0x1.042</t>
  </si>
  <si>
    <t>4x2x16.50x0.667</t>
  </si>
  <si>
    <t>4x32x5.0x0.375</t>
  </si>
  <si>
    <t>1x2x23.50x0.667</t>
  </si>
  <si>
    <t>1x42x5.0x0.375</t>
  </si>
  <si>
    <t>1x4x32.50x1.042</t>
  </si>
  <si>
    <t>1x52x5.0x0.375</t>
  </si>
  <si>
    <t>1x5x15.0x1.042</t>
  </si>
  <si>
    <t>1x27x5.0x0.375</t>
  </si>
  <si>
    <t>1x4x24.0x1.042</t>
  </si>
  <si>
    <t>1x2x22.50x0.667</t>
  </si>
  <si>
    <t>Extra  1/2" dia</t>
  </si>
  <si>
    <t>1x4x23.50x1.042</t>
  </si>
  <si>
    <t>1x43x5.0x0.375</t>
  </si>
  <si>
    <t>3x4x13.50x1.042</t>
  </si>
  <si>
    <t>3x24x5.0x0.375</t>
  </si>
  <si>
    <t>1x4x33.0x1.042</t>
  </si>
  <si>
    <t>1x48x5.0x0.375</t>
  </si>
  <si>
    <t>1x4x21.50x1.042</t>
  </si>
  <si>
    <t>1x38x5.0x0.375</t>
  </si>
  <si>
    <t>1x4x24.50x1.042</t>
  </si>
  <si>
    <t>18437.47 / 112</t>
  </si>
  <si>
    <t>21x8x13.50x1.042</t>
  </si>
  <si>
    <t>21x2x22x4.0x0.375</t>
  </si>
  <si>
    <t>4x2x12.50x0.667</t>
  </si>
  <si>
    <t>4x32x9.0x0.375</t>
  </si>
  <si>
    <t>1x2x11.50x0.667</t>
  </si>
  <si>
    <t>1x2x31.0x0.667</t>
  </si>
  <si>
    <t>1x52x9.0x0.375</t>
  </si>
  <si>
    <t>1x27x9.0x0.375</t>
  </si>
  <si>
    <t>Roof S-1 Main 1/2" dia</t>
  </si>
  <si>
    <t>O.bend 3/8" dia</t>
  </si>
  <si>
    <t>" 3/8" dia</t>
  </si>
  <si>
    <t>Rof S-2 Main 1/2" dia</t>
  </si>
  <si>
    <t>Chajja Ext 1/2" dia</t>
  </si>
  <si>
    <t>"   " 1/2" dia</t>
  </si>
  <si>
    <t>Chair 3/8" dia</t>
  </si>
  <si>
    <t>Roof S-3 Main 1/2" dia</t>
  </si>
  <si>
    <t>1x2x23.0x0.667</t>
  </si>
  <si>
    <t>1x40x9.0x0.375</t>
  </si>
  <si>
    <t>1x4x23.0x1.042</t>
  </si>
  <si>
    <t>1x2x21.50x0.667</t>
  </si>
  <si>
    <t>1x43x9.0x0.375</t>
  </si>
  <si>
    <t>3x2x12.0x0.667</t>
  </si>
  <si>
    <t>3x24x9.0x0.375</t>
  </si>
  <si>
    <t>1x2x31.50x0.667</t>
  </si>
  <si>
    <t>1x48x9.0x0.375</t>
  </si>
  <si>
    <t>1x2x20.0x0.667</t>
  </si>
  <si>
    <t>1x38x9.0x0.375</t>
  </si>
  <si>
    <t>2x36x16.25x0.667</t>
  </si>
  <si>
    <t>2x19x21.0x0.667</t>
  </si>
  <si>
    <t>2x4x15.0x0.375</t>
  </si>
  <si>
    <t>2x5x10.0x0.375</t>
  </si>
  <si>
    <t>2x20.0x2.50x0.375</t>
  </si>
  <si>
    <t>2x38x17.25x0.667</t>
  </si>
  <si>
    <t>2x21x22.0x0.667</t>
  </si>
  <si>
    <t>2x5x11.0x0.375</t>
  </si>
  <si>
    <t>2x22x2.50x0.375</t>
  </si>
  <si>
    <t>1x33x19.50x0.667</t>
  </si>
  <si>
    <t>1x33x10.0x0.667</t>
  </si>
  <si>
    <t>1x13x14.0x0.667</t>
  </si>
  <si>
    <t>2x17x12.50x0.667</t>
  </si>
  <si>
    <t>2x12x16.25x0.375</t>
  </si>
  <si>
    <t>2x3x11.0x0.375</t>
  </si>
  <si>
    <t>2x4x6.0x0.375</t>
  </si>
  <si>
    <t>1x16x9.50x0.667</t>
  </si>
  <si>
    <t>1x9x14.0x0.375</t>
  </si>
  <si>
    <t>1x3x14.0x0.375</t>
  </si>
  <si>
    <t>1x12x2.50x0.375</t>
  </si>
  <si>
    <t>12268.78 / 112</t>
  </si>
  <si>
    <t>CONSTRUCTION OF OFFICE HOSTEL RESIDENTIAL BUILDING FOR POULATION WELFARE TRAINING INSTITUTE (P.W.T.I) KARACHI CONSTRUCTION OF OVER HEAD TANK &amp; WATCH TOWER FOR MAIN BUILDING</t>
  </si>
  <si>
    <t>A) Central Tower</t>
  </si>
  <si>
    <t>Beams</t>
  </si>
  <si>
    <t>Col: Offsets</t>
  </si>
  <si>
    <t>Roof</t>
  </si>
  <si>
    <t>Stair Flight</t>
  </si>
  <si>
    <t>Steps</t>
  </si>
  <si>
    <t>Lift Walls</t>
  </si>
  <si>
    <t>5x2.25x2.25x9.50</t>
  </si>
  <si>
    <t>2x22.25x0.67x2.0</t>
  </si>
  <si>
    <t>2x21.50x0.67x2.0</t>
  </si>
  <si>
    <t>5x1.75x1.75x2.0</t>
  </si>
  <si>
    <t>1x25.50x29.50x0.50</t>
  </si>
  <si>
    <t>2x5.0x4.0x0.50</t>
  </si>
  <si>
    <t>1x13.0x4.0x0.50</t>
  </si>
  <si>
    <t>24x4.0x1.0x0.5x1/2</t>
  </si>
  <si>
    <t>3x10.0x1.0x11.0</t>
  </si>
  <si>
    <t>2x13.0x1.0x11.0</t>
  </si>
  <si>
    <t>5x2.25x2.25x6.75</t>
  </si>
  <si>
    <t>2x22.25x0.67x1.50</t>
  </si>
  <si>
    <t>3x21.50x0.67x1.50</t>
  </si>
  <si>
    <t xml:space="preserve">" </t>
  </si>
  <si>
    <t>B) Over Head Tank</t>
  </si>
  <si>
    <t>4x2.25x2.25x8.0</t>
  </si>
  <si>
    <t>2x16.0x0.67x3.75</t>
  </si>
  <si>
    <t>2x11.67x0.67x3.75</t>
  </si>
  <si>
    <t>4x1.75x1.75x3.75</t>
  </si>
  <si>
    <t>1x22.50x16.0x0.50</t>
  </si>
  <si>
    <t>4x2.25x2.25x3.0</t>
  </si>
  <si>
    <t>2x16.0x0.67x3.0</t>
  </si>
  <si>
    <t>1x16.0x13.0x0.75</t>
  </si>
  <si>
    <t>2x16.0x0.67x4.50</t>
  </si>
  <si>
    <t>2x11.67x0.67x4.50</t>
  </si>
  <si>
    <t>C) Side Tower</t>
  </si>
  <si>
    <t>4x2.25x2.25x10.50</t>
  </si>
  <si>
    <t>2x12.0x0.67x4.25</t>
  </si>
  <si>
    <t>1x9.50x0.67x4.25</t>
  </si>
  <si>
    <t>1x9.50x4.0x0.50</t>
  </si>
  <si>
    <t>2x12.0x4.0x0.50</t>
  </si>
  <si>
    <t>2x11x4.0x1.0x0.50x1/2</t>
  </si>
  <si>
    <t>4x2.25x2.25x8.83</t>
  </si>
  <si>
    <t>2x12.0x0.67x1.0</t>
  </si>
  <si>
    <t>2x9.50x0.67x1.0</t>
  </si>
  <si>
    <t>1x21.0x14.0x0.50</t>
  </si>
  <si>
    <t>Landing</t>
  </si>
  <si>
    <t>Flight</t>
  </si>
  <si>
    <t>Grand Total A+B+C</t>
  </si>
  <si>
    <t>Roof Opening</t>
  </si>
  <si>
    <t>Lift D</t>
  </si>
  <si>
    <t>1x8.0x13.0x0.50</t>
  </si>
  <si>
    <t>2x4.0x1.0x7.0</t>
  </si>
  <si>
    <t>Walls</t>
  </si>
  <si>
    <t>2x22.75x0.50x9.50</t>
  </si>
  <si>
    <t>2x21.50x0.50x9.50</t>
  </si>
  <si>
    <t>2x21.50x0.50x6.75</t>
  </si>
  <si>
    <t>2x18.0x0.50x3.0</t>
  </si>
  <si>
    <t>B) Side Tower</t>
  </si>
  <si>
    <t>2x12.0x0.50x8.0</t>
  </si>
  <si>
    <t>1x9.50x0.50x8.0</t>
  </si>
  <si>
    <t>1x9.50x0.50x11.0</t>
  </si>
  <si>
    <t>2x12.0x0.50x6.83</t>
  </si>
  <si>
    <t>2x9.50x0.50x6.82</t>
  </si>
  <si>
    <t>D</t>
  </si>
  <si>
    <t>W</t>
  </si>
  <si>
    <t>V</t>
  </si>
  <si>
    <t>2x4.0x0.50x8.50</t>
  </si>
  <si>
    <t>2x6.0x0.50x6.0</t>
  </si>
  <si>
    <t>2x5.0x0.50x6.0</t>
  </si>
  <si>
    <t>5x9.75x0.50x2.0</t>
  </si>
  <si>
    <t>3906.00x6/112</t>
  </si>
  <si>
    <t>A=Internal Plaster</t>
  </si>
  <si>
    <t>Central Tower</t>
  </si>
  <si>
    <t>1x2x(20.0+22.50)x9.50</t>
  </si>
  <si>
    <t>1x2x(20.0+22.50)x8.25</t>
  </si>
  <si>
    <t>1x2x(12.0+15.0)x18.75</t>
  </si>
  <si>
    <t>Door</t>
  </si>
  <si>
    <t>2x4.0x8.50</t>
  </si>
  <si>
    <t>2522.00 - 68.00</t>
  </si>
  <si>
    <t>B=External Plaster</t>
  </si>
  <si>
    <t>Side Tower</t>
  </si>
  <si>
    <t>1x2x(21.0+2300+)x18.75</t>
  </si>
  <si>
    <t>1x2x(13.0+16.0)x18.75</t>
  </si>
  <si>
    <t>2738.00 - 68.00</t>
  </si>
  <si>
    <t>2454.00 + 2670.00</t>
  </si>
  <si>
    <t>Damp Proof Course with cement sand ratio</t>
  </si>
  <si>
    <t>OHT i/side</t>
  </si>
  <si>
    <t>1x2x(12.00+15.0)x4.50</t>
  </si>
  <si>
    <t>P/L C.C Topping 1:2:4</t>
  </si>
  <si>
    <t>Central Tower Floor</t>
  </si>
  <si>
    <t>"   Roof</t>
  </si>
  <si>
    <t>OHT Roof</t>
  </si>
  <si>
    <t>Side Tower Roof</t>
  </si>
  <si>
    <t>Stair Steps</t>
  </si>
  <si>
    <t>1x20.0x22.50</t>
  </si>
  <si>
    <t>1x25.50x29.50</t>
  </si>
  <si>
    <t>1x22.50x16.0</t>
  </si>
  <si>
    <t>1x21.0x14.0</t>
  </si>
  <si>
    <t>23x4.0x1.0</t>
  </si>
  <si>
    <t>24x4.0x1.0</t>
  </si>
  <si>
    <t>Lift</t>
  </si>
  <si>
    <t>1x8.0x13.0</t>
  </si>
  <si>
    <t>1x14.0x10.0</t>
  </si>
  <si>
    <t>P/F Ornamental C.C Jali</t>
  </si>
  <si>
    <t>Central Tower W</t>
  </si>
  <si>
    <t>2x6.0x6.0</t>
  </si>
  <si>
    <t>2x5.0x6.0</t>
  </si>
  <si>
    <t>5x9.75x2.0</t>
  </si>
  <si>
    <t>Central Tower Ceiling</t>
  </si>
  <si>
    <t>" Chajja</t>
  </si>
  <si>
    <t>" Flight</t>
  </si>
  <si>
    <t>2x20.0x22.50</t>
  </si>
  <si>
    <t>2x2x(25.0+27.0)x2.0</t>
  </si>
  <si>
    <t>2x8.0x4.0</t>
  </si>
  <si>
    <t>1x13.0x4.0</t>
  </si>
  <si>
    <t>1x12.0x15.0</t>
  </si>
  <si>
    <t>2x2x(17.0+20.0)x2.0</t>
  </si>
  <si>
    <t>Opening</t>
  </si>
  <si>
    <t>1x13.0x8.0</t>
  </si>
  <si>
    <t>Preparing the surface &amp; Painting with matte finish</t>
  </si>
  <si>
    <t>Qty same as Sch: Item No.4-A</t>
  </si>
  <si>
    <t>O.H.T O/Side</t>
  </si>
  <si>
    <t>OHT Coloumn</t>
  </si>
  <si>
    <t>1x2x16.0x8.25</t>
  </si>
  <si>
    <t>1x2x13.0x5.25</t>
  </si>
  <si>
    <t>4x2x(2.25+2.25)x8.0</t>
  </si>
  <si>
    <t>Add Qty of Item No4-B</t>
  </si>
  <si>
    <t>Two Coats of bitumen laid hot</t>
  </si>
  <si>
    <t xml:space="preserve">Central Tower Roof </t>
  </si>
  <si>
    <t>Add Extra labour for R.C.C in 2nd &amp; Subsequent floor</t>
  </si>
  <si>
    <t>Extra labour for lifting steel above first floor</t>
  </si>
  <si>
    <t>Qty same as Schedule Item No. 03</t>
  </si>
  <si>
    <t>Add extra labour for block masonry in 3rd floor</t>
  </si>
  <si>
    <t>Qty same as Schedule Item No. 02</t>
  </si>
  <si>
    <t xml:space="preserve">Extra labour for cement or mud plaster </t>
  </si>
  <si>
    <t>Qty same as Schedule Item No. 04</t>
  </si>
  <si>
    <t>M/Fixing Steel grated door with 1/16" thick sheeting</t>
  </si>
  <si>
    <t>Tower</t>
  </si>
  <si>
    <t>Preparing the surface Painting Doors &amp; Windows</t>
  </si>
  <si>
    <t>Tower D</t>
  </si>
  <si>
    <t>2x2x4.0x8.50</t>
  </si>
  <si>
    <t>3rd Floor(S.I 6(d)+6(d)/P-17)(121/10+12/10)</t>
  </si>
  <si>
    <t>for 3rd floor (S.I.No.6(d)=6 (d) /P-17) 151/25+151/25)</t>
  </si>
  <si>
    <t xml:space="preserve">(S.I.No.30/P-19) </t>
  </si>
  <si>
    <t>for each additional 10' height S.I.29/54)</t>
  </si>
  <si>
    <t xml:space="preserve">Two coats of bitumen laid hot using 34 Lbs </t>
  </si>
  <si>
    <t xml:space="preserve">for % Sft. Ober roof and blinded with sand at </t>
  </si>
  <si>
    <t>one Cft. Per % Sft.</t>
  </si>
  <si>
    <t xml:space="preserve">Damp Proof course with cement sand Ratio (1: 2) </t>
  </si>
  <si>
    <t>mixed with dampo . (b) 3/4" thick</t>
  </si>
  <si>
    <t>(S.I.No.69(b)/P-107)</t>
  </si>
  <si>
    <t>Providing and fixing ornamental cement jalli 2"</t>
  </si>
  <si>
    <t xml:space="preserve"> thick (1 : 2 : 4) without steel.</t>
  </si>
  <si>
    <t xml:space="preserve">Preparing the surface and painting with matt finish </t>
  </si>
  <si>
    <t xml:space="preserve">I/c rubbing the surface with Bathy (silicon carbide </t>
  </si>
  <si>
    <t xml:space="preserve">rubbing brick) filling the voids with zink /chalk / </t>
  </si>
  <si>
    <t xml:space="preserve">plaster of  paris mixture, applying first coat  </t>
  </si>
  <si>
    <t xml:space="preserve">premix, making the surface smooth and then </t>
  </si>
  <si>
    <t xml:space="preserve">painting 3 coats with matt finish  of approved </t>
  </si>
  <si>
    <t>make etc: complete .a)(new surface).b) Two Coats</t>
  </si>
  <si>
    <t xml:space="preserve">.(S.I.No.36-a+b P-55) </t>
  </si>
  <si>
    <t>Add Extra for R.C.C in 2nd Floor (S.I.12/18)</t>
  </si>
  <si>
    <t>P.Cft</t>
  </si>
  <si>
    <t xml:space="preserve">Add extra for lifting of steel above </t>
  </si>
  <si>
    <t>first floor for every additional floor</t>
  </si>
  <si>
    <t>Add Extra for Block Masonry in first floor</t>
  </si>
  <si>
    <t>(S.I.No.30/P-19)</t>
  </si>
  <si>
    <t>Add Extra for Lime mud or cement plaster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</si>
  <si>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</si>
  <si>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</si>
  <si>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</si>
  <si>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</si>
  <si>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 xml:space="preserve">Part "A" Civil Works </t>
  </si>
  <si>
    <t>(S.I.No.29/P-54)for 3rd floor 140+97x3</t>
  </si>
  <si>
    <t>' SCHEDULE " B"</t>
  </si>
  <si>
    <t>Rupees Three Hundred Thirty Seven Only</t>
  </si>
  <si>
    <t>Rupees Fifteen Thousand Seven Hundred Seventy One and One Ps</t>
  </si>
  <si>
    <t>Rupees Five Thousand One and Seventy Ps Only</t>
  </si>
  <si>
    <t>Rupees Three Thousand Fifteen and Seventy Six Only</t>
  </si>
  <si>
    <t xml:space="preserve">Rupees Two Thousand Four Hundred One Fifty Eight Paisa </t>
  </si>
  <si>
    <t>Rupees Three Thousand Two Hundred Seventy Five and Fifty Ps Only</t>
  </si>
  <si>
    <t>Rupees Two Hundred Twenty Six and Two Paisa Only</t>
  </si>
  <si>
    <t>Rupees One Thousand Seventy Nine and Sixty Five Paisa</t>
  </si>
  <si>
    <t>Rupees ThirtyFour Hundred Forty Four and Thirty Eight Only</t>
  </si>
  <si>
    <t>Rupees Twenty Five Hundred Sixty Seven Ninty Five Only</t>
  </si>
  <si>
    <t>Rupees Eifhteen Hundred Eighty Seven and Forty Four</t>
  </si>
  <si>
    <t>Rupees Twenty Four and Twenty Paisa Only</t>
  </si>
  <si>
    <t>Rupees Three Hundred Two and Fifty Paisa Only</t>
  </si>
  <si>
    <t>Rupees Eleven Hundred Ninty One and Nine Paisa Only</t>
  </si>
  <si>
    <t>Rupees Four Hundred Twenty Two and Nine Only</t>
  </si>
  <si>
    <t>Rupees Seven Hundred Twenty Six and Seventy Two Only</t>
  </si>
  <si>
    <t>Rupees Twenty One Hundred Sixteen and Forty One Only</t>
  </si>
  <si>
    <t>Below Or Above</t>
  </si>
  <si>
    <t>SUMMARY OF COST</t>
  </si>
  <si>
    <t>PART A</t>
  </si>
  <si>
    <t>Cost of Civil Work Schedule Item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</si>
  <si>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</si>
  <si>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</si>
  <si>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</si>
  <si>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</si>
  <si>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</si>
  <si>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</si>
  <si>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</si>
  <si>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</si>
  <si>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</si>
  <si>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</si>
  <si>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</si>
  <si>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</si>
  <si>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</si>
  <si>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</si>
  <si>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</si>
  <si>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</si>
  <si>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</si>
  <si>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</si>
  <si>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</si>
  <si>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CONSTRUCTION OF OFFICE HOSTEL RESIDENTIAL BUILDING FOR POULATION WELFARE TRAINING INSTITUTE (P.W.T.I) KARACHI CONSTRUCTION OF OVER HEAD TANK &amp; WATCH TOWER FOR MAIN BUILDING ADP No.1736 of 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</si>
</sst>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1"/>
      <name val="Arial"/>
      <family val="2"/>
    </font>
    <font>
      <i/>
      <sz val="1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u/>
      <sz val="12"/>
      <name val="Times New Roman"/>
      <family val="1"/>
    </font>
    <font>
      <sz val="12"/>
      <name val="Times New Roman"/>
      <family val="1"/>
    </font>
    <font>
      <i/>
      <sz val="9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right"/>
    </xf>
    <xf numFmtId="164" fontId="2" fillId="0" borderId="0" xfId="0" applyNumberFormat="1" applyFont="1" applyBorder="1" applyAlignment="1">
      <alignment vertical="top"/>
    </xf>
    <xf numFmtId="0" fontId="5" fillId="0" borderId="0" xfId="0" applyFont="1"/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" fillId="0" borderId="0" xfId="0" applyFont="1"/>
    <xf numFmtId="0" fontId="17" fillId="0" borderId="0" xfId="0" applyFont="1"/>
    <xf numFmtId="0" fontId="19" fillId="0" borderId="0" xfId="0" applyFont="1"/>
    <xf numFmtId="0" fontId="16" fillId="0" borderId="0" xfId="0" quotePrefix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7" fillId="0" borderId="1" xfId="0" applyFont="1" applyBorder="1"/>
    <xf numFmtId="0" fontId="19" fillId="0" borderId="2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9" fillId="0" borderId="0" xfId="0" applyFont="1" applyFill="1"/>
    <xf numFmtId="0" fontId="19" fillId="0" borderId="0" xfId="0" applyFont="1" applyFill="1" applyAlignment="1">
      <alignment vertical="top"/>
    </xf>
    <xf numFmtId="2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0" fontId="19" fillId="0" borderId="0" xfId="0" applyFont="1" applyFill="1" applyAlignment="1">
      <alignment horizontal="right"/>
    </xf>
    <xf numFmtId="0" fontId="19" fillId="0" borderId="0" xfId="0" quotePrefix="1" applyFont="1" applyFill="1" applyAlignment="1">
      <alignment horizontal="center"/>
    </xf>
    <xf numFmtId="166" fontId="19" fillId="0" borderId="0" xfId="0" quotePrefix="1" applyNumberFormat="1" applyFont="1" applyFill="1" applyAlignment="1">
      <alignment horizontal="left"/>
    </xf>
    <xf numFmtId="0" fontId="19" fillId="0" borderId="0" xfId="0" applyFont="1" applyFill="1" applyAlignment="1">
      <alignment horizontal="center"/>
    </xf>
    <xf numFmtId="165" fontId="19" fillId="0" borderId="0" xfId="1" quotePrefix="1" applyNumberFormat="1" applyFont="1" applyFill="1" applyAlignment="1">
      <alignment horizontal="right" vertical="top"/>
    </xf>
    <xf numFmtId="0" fontId="19" fillId="0" borderId="0" xfId="0" quotePrefix="1" applyFont="1" applyFill="1" applyAlignment="1">
      <alignment horizontal="left"/>
    </xf>
    <xf numFmtId="0" fontId="19" fillId="0" borderId="0" xfId="0" applyFont="1" applyFill="1" applyAlignment="1"/>
    <xf numFmtId="0" fontId="19" fillId="0" borderId="0" xfId="0" applyFont="1" applyFill="1" applyAlignment="1">
      <alignment wrapText="1"/>
    </xf>
    <xf numFmtId="0" fontId="19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9" fillId="0" borderId="0" xfId="0" quotePrefix="1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17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quotePrefix="1" applyFont="1" applyAlignment="1">
      <alignment wrapText="1"/>
    </xf>
    <xf numFmtId="166" fontId="19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wrapText="1"/>
    </xf>
    <xf numFmtId="165" fontId="19" fillId="0" borderId="0" xfId="1" quotePrefix="1" applyNumberFormat="1" applyFont="1" applyAlignment="1">
      <alignment horizontal="right" wrapText="1"/>
    </xf>
    <xf numFmtId="0" fontId="19" fillId="0" borderId="0" xfId="0" quotePrefix="1" applyFont="1" applyAlignment="1">
      <alignment horizontal="left"/>
    </xf>
    <xf numFmtId="2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17" fillId="0" borderId="0" xfId="0" applyFont="1" applyFill="1" applyAlignment="1">
      <alignment horizontal="right" vertical="top"/>
    </xf>
    <xf numFmtId="165" fontId="17" fillId="0" borderId="3" xfId="1" quotePrefix="1" applyNumberFormat="1" applyFont="1" applyFill="1" applyBorder="1" applyAlignment="1">
      <alignment horizontal="right" vertical="top"/>
    </xf>
    <xf numFmtId="0" fontId="15" fillId="0" borderId="0" xfId="0" applyFont="1"/>
    <xf numFmtId="165" fontId="17" fillId="0" borderId="0" xfId="1" quotePrefix="1" applyNumberFormat="1" applyFont="1" applyFill="1" applyBorder="1" applyAlignment="1">
      <alignment horizontal="right" vertical="top"/>
    </xf>
    <xf numFmtId="165" fontId="17" fillId="0" borderId="0" xfId="0" applyNumberFormat="1" applyFont="1" applyBorder="1" applyAlignment="1">
      <alignment horizontal="center"/>
    </xf>
    <xf numFmtId="0" fontId="19" fillId="0" borderId="0" xfId="0" applyFont="1" applyFill="1" applyAlignment="1">
      <alignment horizontal="center" vertical="top"/>
    </xf>
    <xf numFmtId="0" fontId="20" fillId="0" borderId="0" xfId="0" applyFont="1"/>
    <xf numFmtId="0" fontId="18" fillId="0" borderId="0" xfId="0" applyFont="1" applyAlignment="1">
      <alignment horizontal="right" vertical="top"/>
    </xf>
    <xf numFmtId="12" fontId="17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right"/>
    </xf>
    <xf numFmtId="0" fontId="18" fillId="0" borderId="0" xfId="0" applyFont="1"/>
    <xf numFmtId="165" fontId="18" fillId="0" borderId="0" xfId="2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quotePrefix="1" applyFont="1" applyAlignment="1">
      <alignment vertical="top"/>
    </xf>
    <xf numFmtId="0" fontId="15" fillId="0" borderId="0" xfId="0" applyFont="1" applyAlignment="1">
      <alignment horizontal="right"/>
    </xf>
    <xf numFmtId="165" fontId="15" fillId="0" borderId="0" xfId="2" applyNumberFormat="1" applyFont="1" applyAlignment="1">
      <alignment horizontal="right" vertical="top"/>
    </xf>
    <xf numFmtId="165" fontId="18" fillId="0" borderId="3" xfId="1" applyNumberFormat="1" applyFont="1" applyBorder="1" applyAlignment="1">
      <alignment horizontal="right"/>
    </xf>
    <xf numFmtId="0" fontId="18" fillId="0" borderId="2" xfId="0" quotePrefix="1" applyFont="1" applyBorder="1" applyAlignment="1">
      <alignment vertical="top"/>
    </xf>
    <xf numFmtId="165" fontId="15" fillId="0" borderId="0" xfId="2" applyNumberFormat="1" applyFont="1" applyAlignment="1">
      <alignment vertical="top"/>
    </xf>
    <xf numFmtId="165" fontId="18" fillId="0" borderId="0" xfId="2" applyNumberFormat="1" applyFont="1" applyBorder="1"/>
    <xf numFmtId="0" fontId="15" fillId="0" borderId="0" xfId="0" quotePrefix="1" applyFont="1" applyBorder="1"/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4" fillId="0" borderId="0" xfId="0" applyFont="1"/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horizontal="right"/>
    </xf>
    <xf numFmtId="0" fontId="19" fillId="0" borderId="0" xfId="0" applyFont="1" applyAlignment="1"/>
    <xf numFmtId="2" fontId="17" fillId="0" borderId="0" xfId="0" applyNumberFormat="1" applyFont="1" applyAlignment="1">
      <alignment horizontal="right"/>
    </xf>
    <xf numFmtId="0" fontId="17" fillId="0" borderId="0" xfId="0" applyFont="1" applyAlignment="1"/>
    <xf numFmtId="2" fontId="19" fillId="0" borderId="0" xfId="0" applyNumberFormat="1" applyFont="1" applyAlignment="1">
      <alignment vertical="top"/>
    </xf>
    <xf numFmtId="0" fontId="3" fillId="0" borderId="4" xfId="0" applyFont="1" applyBorder="1" applyAlignment="1">
      <alignment horizontal="center"/>
    </xf>
    <xf numFmtId="14" fontId="2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2" fontId="2" fillId="0" borderId="0" xfId="0" applyNumberFormat="1" applyFont="1" applyAlignment="1">
      <alignment vertical="top"/>
    </xf>
    <xf numFmtId="0" fontId="15" fillId="0" borderId="0" xfId="0" applyFont="1" applyAlignment="1">
      <alignment horizontal="left"/>
    </xf>
    <xf numFmtId="0" fontId="15" fillId="0" borderId="0" xfId="0" quotePrefix="1" applyFont="1" applyAlignment="1">
      <alignment horizontal="center"/>
    </xf>
    <xf numFmtId="165" fontId="15" fillId="0" borderId="0" xfId="1" quotePrefix="1" applyNumberFormat="1" applyFont="1" applyAlignment="1">
      <alignment horizontal="right" vertical="top"/>
    </xf>
    <xf numFmtId="0" fontId="15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41" fontId="15" fillId="0" borderId="0" xfId="1" applyNumberFormat="1" applyFont="1" applyAlignment="1">
      <alignment horizontal="right"/>
    </xf>
    <xf numFmtId="2" fontId="18" fillId="0" borderId="0" xfId="0" applyNumberFormat="1" applyFont="1" applyBorder="1" applyAlignment="1">
      <alignment horizontal="right"/>
    </xf>
    <xf numFmtId="166" fontId="15" fillId="0" borderId="0" xfId="0" applyNumberFormat="1" applyFont="1" applyAlignment="1">
      <alignment horizontal="left"/>
    </xf>
    <xf numFmtId="0" fontId="15" fillId="0" borderId="0" xfId="0" quotePrefix="1" applyFont="1"/>
    <xf numFmtId="2" fontId="23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quotePrefix="1" applyFont="1" applyAlignment="1">
      <alignment horizontal="center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2" fontId="23" fillId="0" borderId="0" xfId="0" applyNumberFormat="1" applyFont="1" applyAlignment="1">
      <alignment horizontal="right"/>
    </xf>
    <xf numFmtId="2" fontId="18" fillId="0" borderId="0" xfId="0" applyNumberFormat="1" applyFont="1" applyBorder="1"/>
    <xf numFmtId="0" fontId="18" fillId="0" borderId="4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17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0" fontId="21" fillId="0" borderId="8" xfId="0" applyFont="1" applyBorder="1"/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9" fillId="0" borderId="0" xfId="0" applyFont="1" applyBorder="1"/>
    <xf numFmtId="0" fontId="19" fillId="0" borderId="0" xfId="0" applyFont="1" applyBorder="1" applyAlignment="1">
      <alignment vertical="top"/>
    </xf>
    <xf numFmtId="0" fontId="19" fillId="0" borderId="0" xfId="0" applyFont="1" applyBorder="1" applyAlignment="1">
      <alignment horizontal="right"/>
    </xf>
    <xf numFmtId="2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/>
    <xf numFmtId="2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/>
    <xf numFmtId="0" fontId="2" fillId="0" borderId="0" xfId="0" applyFont="1" applyBorder="1" applyAlignment="1">
      <alignment vertical="top"/>
    </xf>
    <xf numFmtId="2" fontId="15" fillId="0" borderId="0" xfId="0" applyNumberFormat="1" applyFont="1" applyBorder="1" applyAlignment="1">
      <alignment horizontal="right"/>
    </xf>
    <xf numFmtId="0" fontId="25" fillId="0" borderId="0" xfId="0" quotePrefix="1" applyFont="1" applyFill="1" applyAlignment="1">
      <alignment horizontal="left"/>
    </xf>
    <xf numFmtId="0" fontId="25" fillId="0" borderId="0" xfId="0" quotePrefix="1" applyFont="1" applyAlignment="1">
      <alignment horizontal="left"/>
    </xf>
    <xf numFmtId="0" fontId="23" fillId="0" borderId="0" xfId="0" applyFont="1" applyFill="1" applyAlignment="1">
      <alignment horizontal="center"/>
    </xf>
    <xf numFmtId="0" fontId="21" fillId="0" borderId="0" xfId="0" applyFont="1" applyFill="1"/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Border="1" applyAlignment="1"/>
    <xf numFmtId="0" fontId="21" fillId="0" borderId="0" xfId="0" applyFont="1" applyFill="1" applyAlignment="1">
      <alignment horizontal="right"/>
    </xf>
    <xf numFmtId="0" fontId="21" fillId="0" borderId="0" xfId="0" quotePrefix="1" applyFont="1" applyFill="1" applyAlignment="1">
      <alignment horizontal="center"/>
    </xf>
    <xf numFmtId="166" fontId="21" fillId="0" borderId="0" xfId="0" quotePrefix="1" applyNumberFormat="1" applyFont="1" applyFill="1" applyAlignment="1">
      <alignment horizontal="left"/>
    </xf>
    <xf numFmtId="0" fontId="21" fillId="0" borderId="0" xfId="0" applyFont="1" applyFill="1" applyAlignment="1">
      <alignment horizontal="center"/>
    </xf>
    <xf numFmtId="165" fontId="21" fillId="0" borderId="0" xfId="1" quotePrefix="1" applyNumberFormat="1" applyFont="1" applyFill="1" applyAlignment="1">
      <alignment horizontal="right" vertical="top"/>
    </xf>
    <xf numFmtId="0" fontId="21" fillId="0" borderId="0" xfId="0" quotePrefix="1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5" fillId="0" borderId="0" xfId="0" applyFont="1" applyFill="1"/>
    <xf numFmtId="2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15" fillId="0" borderId="0" xfId="0" applyFont="1" applyFill="1" applyAlignment="1">
      <alignment horizontal="right"/>
    </xf>
    <xf numFmtId="0" fontId="15" fillId="0" borderId="0" xfId="0" quotePrefix="1" applyFont="1" applyFill="1" applyAlignment="1">
      <alignment horizontal="center"/>
    </xf>
    <xf numFmtId="0" fontId="15" fillId="0" borderId="0" xfId="0" quotePrefix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165" fontId="15" fillId="0" borderId="0" xfId="1" quotePrefix="1" applyNumberFormat="1" applyFont="1" applyFill="1" applyAlignment="1">
      <alignment horizontal="right" vertical="top"/>
    </xf>
    <xf numFmtId="0" fontId="15" fillId="0" borderId="0" xfId="0" applyNumberFormat="1" applyFont="1"/>
    <xf numFmtId="0" fontId="18" fillId="0" borderId="0" xfId="0" applyFont="1" applyFill="1" applyAlignment="1">
      <alignment horizontal="right"/>
    </xf>
    <xf numFmtId="165" fontId="18" fillId="0" borderId="0" xfId="0" applyNumberFormat="1" applyFont="1" applyBorder="1" applyAlignment="1">
      <alignment horizontal="right"/>
    </xf>
    <xf numFmtId="0" fontId="15" fillId="0" borderId="0" xfId="0" quotePrefix="1" applyFont="1" applyBorder="1" applyAlignment="1">
      <alignment horizontal="left"/>
    </xf>
    <xf numFmtId="166" fontId="15" fillId="0" borderId="0" xfId="0" quotePrefix="1" applyNumberFormat="1" applyFont="1" applyAlignment="1">
      <alignment horizontal="left"/>
    </xf>
    <xf numFmtId="41" fontId="15" fillId="0" borderId="0" xfId="1" quotePrefix="1" applyNumberFormat="1" applyFont="1" applyAlignment="1">
      <alignment horizontal="right" vertical="top"/>
    </xf>
    <xf numFmtId="166" fontId="15" fillId="0" borderId="0" xfId="0" quotePrefix="1" applyNumberFormat="1" applyFont="1" applyFill="1" applyAlignment="1">
      <alignment horizontal="left"/>
    </xf>
    <xf numFmtId="0" fontId="19" fillId="0" borderId="16" xfId="0" quotePrefix="1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0" borderId="0" xfId="0" applyFont="1" applyFill="1" applyBorder="1" applyAlignment="1">
      <alignment vertical="top"/>
    </xf>
    <xf numFmtId="0" fontId="15" fillId="0" borderId="0" xfId="0" applyFont="1" applyBorder="1"/>
    <xf numFmtId="0" fontId="18" fillId="0" borderId="0" xfId="0" applyFont="1" applyBorder="1" applyAlignment="1">
      <alignment horizontal="center"/>
    </xf>
    <xf numFmtId="0" fontId="15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vertical="top"/>
    </xf>
    <xf numFmtId="165" fontId="18" fillId="0" borderId="0" xfId="1" applyNumberFormat="1" applyFont="1" applyBorder="1" applyAlignment="1">
      <alignment horizontal="right"/>
    </xf>
    <xf numFmtId="0" fontId="18" fillId="0" borderId="0" xfId="0" quotePrefix="1" applyFont="1" applyBorder="1" applyAlignment="1">
      <alignment vertical="top"/>
    </xf>
    <xf numFmtId="0" fontId="21" fillId="0" borderId="0" xfId="0" quotePrefix="1" applyNumberFormat="1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7" fillId="0" borderId="3" xfId="0" applyFont="1" applyFill="1" applyBorder="1"/>
    <xf numFmtId="1" fontId="27" fillId="0" borderId="7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8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3" fillId="0" borderId="0" xfId="0" applyFont="1" applyBorder="1" applyAlignment="1">
      <alignment horizontal="right"/>
    </xf>
    <xf numFmtId="165" fontId="3" fillId="0" borderId="0" xfId="1" quotePrefix="1" applyNumberFormat="1" applyFont="1" applyAlignment="1">
      <alignment horizontal="right" wrapText="1"/>
    </xf>
    <xf numFmtId="0" fontId="3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0" fontId="11" fillId="0" borderId="0" xfId="0" applyFont="1" applyAlignment="1">
      <alignment horizontal="right" vertical="top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2" fontId="17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2" fontId="18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left"/>
    </xf>
    <xf numFmtId="2" fontId="15" fillId="0" borderId="17" xfId="0" applyNumberFormat="1" applyFont="1" applyBorder="1" applyAlignment="1">
      <alignment horizontal="left"/>
    </xf>
    <xf numFmtId="2" fontId="19" fillId="0" borderId="0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2" fontId="17" fillId="0" borderId="0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/>
    </xf>
    <xf numFmtId="2" fontId="21" fillId="0" borderId="0" xfId="0" applyNumberFormat="1" applyFont="1" applyFill="1" applyAlignment="1">
      <alignment horizontal="center"/>
    </xf>
    <xf numFmtId="2" fontId="26" fillId="0" borderId="0" xfId="0" applyNumberFormat="1" applyFont="1" applyAlignment="1">
      <alignment horizontal="center"/>
    </xf>
    <xf numFmtId="2" fontId="19" fillId="0" borderId="0" xfId="0" applyNumberFormat="1" applyFont="1" applyFill="1" applyBorder="1" applyAlignment="1">
      <alignment horizontal="center" vertical="top"/>
    </xf>
    <xf numFmtId="2" fontId="19" fillId="0" borderId="0" xfId="0" applyNumberFormat="1" applyFont="1" applyFill="1" applyBorder="1" applyAlignment="1">
      <alignment horizontal="left" vertical="top"/>
    </xf>
    <xf numFmtId="12" fontId="23" fillId="0" borderId="0" xfId="0" applyNumberFormat="1" applyFont="1" applyAlignment="1">
      <alignment horizontal="justify" vertical="top" wrapText="1"/>
    </xf>
    <xf numFmtId="2" fontId="15" fillId="0" borderId="0" xfId="0" applyNumberFormat="1" applyFont="1" applyAlignment="1">
      <alignment horizontal="center"/>
    </xf>
    <xf numFmtId="0" fontId="26" fillId="0" borderId="0" xfId="0" applyFont="1" applyBorder="1" applyAlignment="1">
      <alignment horizontal="center"/>
    </xf>
    <xf numFmtId="2" fontId="2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5"/>
      <c r="E3" s="27" t="s">
        <v>20</v>
      </c>
    </row>
    <row r="4" spans="2:8" ht="15">
      <c r="B4" s="16"/>
      <c r="C4" s="15"/>
      <c r="D4" s="15"/>
      <c r="E4" s="15"/>
    </row>
    <row r="5" spans="2:8" ht="15">
      <c r="B5" s="16" t="s">
        <v>21</v>
      </c>
      <c r="E5" s="16" t="s">
        <v>22</v>
      </c>
    </row>
    <row r="6" spans="2:8" ht="15">
      <c r="B6" s="16"/>
      <c r="E6" s="16"/>
    </row>
    <row r="7" spans="2:8" ht="15">
      <c r="B7" s="16" t="s">
        <v>23</v>
      </c>
      <c r="E7" s="16" t="s">
        <v>24</v>
      </c>
    </row>
    <row r="8" spans="2:8" ht="15">
      <c r="B8" s="16"/>
      <c r="E8" s="16"/>
    </row>
    <row r="9" spans="2:8" ht="15">
      <c r="B9" s="16" t="s">
        <v>25</v>
      </c>
      <c r="E9" s="16" t="s">
        <v>26</v>
      </c>
    </row>
    <row r="10" spans="2:8" ht="15">
      <c r="B10" s="16"/>
      <c r="E10" s="16"/>
    </row>
    <row r="11" spans="2:8" ht="15">
      <c r="B11" s="16" t="s">
        <v>27</v>
      </c>
      <c r="E11" s="16" t="s">
        <v>42</v>
      </c>
    </row>
    <row r="12" spans="2:8" ht="15">
      <c r="B12" s="16"/>
      <c r="D12" s="16"/>
      <c r="E12" s="16"/>
    </row>
    <row r="13" spans="2:8" ht="15.75" customHeight="1">
      <c r="B13" s="16" t="s">
        <v>28</v>
      </c>
      <c r="E13" s="233" t="s">
        <v>46</v>
      </c>
      <c r="F13" s="233"/>
      <c r="G13" s="233"/>
      <c r="H13" s="233"/>
    </row>
    <row r="14" spans="2:8" ht="15.75" customHeight="1">
      <c r="B14" s="16"/>
      <c r="D14" s="26"/>
      <c r="E14" s="233"/>
      <c r="F14" s="233"/>
      <c r="G14" s="233"/>
      <c r="H14" s="233"/>
    </row>
    <row r="15" spans="2:8" ht="15.75" customHeight="1">
      <c r="B15" s="16"/>
      <c r="D15" s="26"/>
      <c r="E15" s="233"/>
      <c r="F15" s="233"/>
      <c r="G15" s="233"/>
      <c r="H15" s="233"/>
    </row>
    <row r="16" spans="2:8" ht="15.75" customHeight="1">
      <c r="B16" s="16"/>
      <c r="D16" s="26"/>
      <c r="E16" s="233"/>
      <c r="F16" s="233"/>
      <c r="G16" s="233"/>
      <c r="H16" s="233"/>
    </row>
    <row r="17" spans="2:8" ht="15.75">
      <c r="B17" s="16"/>
      <c r="D17" s="17"/>
      <c r="E17" s="233"/>
      <c r="F17" s="233"/>
      <c r="G17" s="233"/>
      <c r="H17" s="233"/>
    </row>
    <row r="18" spans="2:8" ht="15.75">
      <c r="B18" s="16"/>
      <c r="D18" s="17"/>
      <c r="E18" s="17"/>
    </row>
    <row r="19" spans="2:8" ht="20.25">
      <c r="B19" s="16" t="s">
        <v>29</v>
      </c>
      <c r="E19" s="18" t="s">
        <v>30</v>
      </c>
    </row>
    <row r="20" spans="2:8" ht="15">
      <c r="B20" s="16"/>
      <c r="C20" s="15"/>
      <c r="D20" s="15"/>
      <c r="E20" s="15"/>
    </row>
    <row r="21" spans="2:8">
      <c r="B21" s="234" t="s">
        <v>43</v>
      </c>
      <c r="C21" s="235"/>
      <c r="D21" s="235"/>
      <c r="E21" s="235"/>
      <c r="F21" s="235"/>
      <c r="G21" s="235"/>
      <c r="H21" s="235"/>
    </row>
    <row r="22" spans="2:8">
      <c r="B22" s="235"/>
      <c r="C22" s="235"/>
      <c r="D22" s="235"/>
      <c r="E22" s="235"/>
      <c r="F22" s="235"/>
      <c r="G22" s="235"/>
      <c r="H22" s="235"/>
    </row>
    <row r="23" spans="2:8">
      <c r="B23" s="235"/>
      <c r="C23" s="235"/>
      <c r="D23" s="235"/>
      <c r="E23" s="235"/>
      <c r="F23" s="235"/>
      <c r="G23" s="235"/>
      <c r="H23" s="235"/>
    </row>
    <row r="24" spans="2:8">
      <c r="B24" s="235"/>
      <c r="C24" s="235"/>
      <c r="D24" s="235"/>
      <c r="E24" s="235"/>
      <c r="F24" s="235"/>
      <c r="G24" s="235"/>
      <c r="H24" s="235"/>
    </row>
    <row r="25" spans="2:8" ht="15">
      <c r="B25" s="16"/>
      <c r="C25" s="15"/>
      <c r="D25" s="15"/>
      <c r="E25" s="15"/>
    </row>
    <row r="26" spans="2:8" ht="12.75" customHeight="1">
      <c r="C26" s="15"/>
      <c r="D26" s="240" t="s">
        <v>47</v>
      </c>
      <c r="E26" s="240"/>
      <c r="F26" s="240"/>
    </row>
    <row r="27" spans="2:8" ht="20.25">
      <c r="B27" s="19"/>
      <c r="C27" s="15"/>
      <c r="D27" s="240"/>
      <c r="E27" s="240"/>
      <c r="F27" s="240"/>
    </row>
    <row r="28" spans="2:8">
      <c r="B28" s="234" t="s">
        <v>44</v>
      </c>
      <c r="C28" s="235"/>
      <c r="D28" s="235"/>
      <c r="E28" s="235"/>
      <c r="F28" s="235"/>
      <c r="G28" s="235"/>
      <c r="H28" s="235"/>
    </row>
    <row r="29" spans="2:8">
      <c r="B29" s="235"/>
      <c r="C29" s="235"/>
      <c r="D29" s="235"/>
      <c r="E29" s="235"/>
      <c r="F29" s="235"/>
      <c r="G29" s="235"/>
      <c r="H29" s="235"/>
    </row>
    <row r="30" spans="2:8">
      <c r="B30" s="235"/>
      <c r="C30" s="235"/>
      <c r="D30" s="235"/>
      <c r="E30" s="235"/>
      <c r="F30" s="235"/>
      <c r="G30" s="235"/>
      <c r="H30" s="235"/>
    </row>
    <row r="31" spans="2:8" ht="15">
      <c r="B31" s="16"/>
      <c r="C31" s="15"/>
      <c r="D31" s="15"/>
      <c r="E31" s="15"/>
    </row>
    <row r="32" spans="2:8" ht="12.75" customHeight="1">
      <c r="C32" s="230" t="s">
        <v>48</v>
      </c>
      <c r="D32" s="230"/>
      <c r="E32" s="230"/>
      <c r="F32" s="230"/>
    </row>
    <row r="33" spans="2:8" ht="20.25">
      <c r="B33" s="19"/>
      <c r="C33" s="230"/>
      <c r="D33" s="230"/>
      <c r="E33" s="230"/>
      <c r="F33" s="230"/>
    </row>
    <row r="34" spans="2:8">
      <c r="B34" s="234" t="s">
        <v>45</v>
      </c>
      <c r="C34" s="235"/>
      <c r="D34" s="235"/>
      <c r="E34" s="235"/>
      <c r="F34" s="235"/>
      <c r="G34" s="235"/>
      <c r="H34" s="235"/>
    </row>
    <row r="35" spans="2:8">
      <c r="B35" s="235"/>
      <c r="C35" s="235"/>
      <c r="D35" s="235"/>
      <c r="E35" s="235"/>
      <c r="F35" s="235"/>
      <c r="G35" s="235"/>
      <c r="H35" s="235"/>
    </row>
    <row r="36" spans="2:8">
      <c r="B36" s="235"/>
      <c r="C36" s="235"/>
      <c r="D36" s="235"/>
      <c r="E36" s="235"/>
      <c r="F36" s="235"/>
      <c r="G36" s="235"/>
      <c r="H36" s="235"/>
    </row>
    <row r="37" spans="2:8">
      <c r="B37" s="235"/>
      <c r="C37" s="235"/>
      <c r="D37" s="235"/>
      <c r="E37" s="235"/>
      <c r="F37" s="235"/>
      <c r="G37" s="235"/>
      <c r="H37" s="235"/>
    </row>
    <row r="38" spans="2:8">
      <c r="B38" s="235"/>
      <c r="C38" s="235"/>
      <c r="D38" s="235"/>
      <c r="E38" s="235"/>
      <c r="F38" s="235"/>
      <c r="G38" s="235"/>
      <c r="H38" s="235"/>
    </row>
    <row r="39" spans="2:8">
      <c r="B39" s="235"/>
      <c r="C39" s="235"/>
      <c r="D39" s="235"/>
      <c r="E39" s="235"/>
      <c r="F39" s="235"/>
      <c r="G39" s="235"/>
      <c r="H39" s="235"/>
    </row>
    <row r="40" spans="2:8">
      <c r="B40" s="235"/>
      <c r="C40" s="235"/>
      <c r="D40" s="235"/>
      <c r="E40" s="235"/>
      <c r="F40" s="235"/>
      <c r="G40" s="235"/>
      <c r="H40" s="235"/>
    </row>
    <row r="41" spans="2:8" ht="15">
      <c r="B41" s="16"/>
      <c r="C41" s="15"/>
      <c r="D41" s="15"/>
      <c r="E41" s="15"/>
    </row>
    <row r="42" spans="2:8" ht="15.75" thickBot="1">
      <c r="B42" s="16"/>
      <c r="C42" s="15"/>
      <c r="D42" s="15"/>
      <c r="E42" s="15"/>
    </row>
    <row r="43" spans="2:8" s="23" customFormat="1" ht="24.95" customHeight="1" thickBot="1">
      <c r="C43" s="20" t="s">
        <v>31</v>
      </c>
      <c r="D43" s="236" t="s">
        <v>32</v>
      </c>
      <c r="E43" s="237"/>
      <c r="F43" s="21" t="s">
        <v>37</v>
      </c>
      <c r="G43" s="22" t="s">
        <v>38</v>
      </c>
    </row>
    <row r="44" spans="2:8" s="23" customFormat="1" ht="24.95" customHeight="1">
      <c r="C44" s="25">
        <v>1</v>
      </c>
      <c r="D44" s="238" t="s">
        <v>33</v>
      </c>
      <c r="E44" s="239"/>
      <c r="F44" s="25" t="s">
        <v>39</v>
      </c>
      <c r="G44" s="25" t="s">
        <v>39</v>
      </c>
    </row>
    <row r="45" spans="2:8" s="23" customFormat="1" ht="24.95" customHeight="1">
      <c r="C45" s="24">
        <v>2</v>
      </c>
      <c r="D45" s="231" t="s">
        <v>34</v>
      </c>
      <c r="E45" s="232"/>
      <c r="F45" s="24" t="s">
        <v>40</v>
      </c>
      <c r="G45" s="24" t="s">
        <v>40</v>
      </c>
    </row>
    <row r="46" spans="2:8" s="23" customFormat="1" ht="24.95" customHeight="1">
      <c r="C46" s="24">
        <v>3</v>
      </c>
      <c r="D46" s="231" t="s">
        <v>35</v>
      </c>
      <c r="E46" s="232"/>
      <c r="F46" s="24" t="s">
        <v>41</v>
      </c>
      <c r="G46" s="24" t="s">
        <v>41</v>
      </c>
    </row>
    <row r="47" spans="2:8" ht="15">
      <c r="B47" s="16" t="s">
        <v>36</v>
      </c>
      <c r="C47" s="15"/>
      <c r="D47" s="15"/>
      <c r="E47" s="15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workbookViewId="0">
      <selection activeCell="F28" sqref="F28"/>
    </sheetView>
  </sheetViews>
  <sheetFormatPr defaultRowHeight="15.75"/>
  <cols>
    <col min="1" max="7" width="9.140625" style="83"/>
    <col min="8" max="8" width="17.85546875" style="83" bestFit="1" customWidth="1"/>
    <col min="9" max="9" width="3" style="83" customWidth="1"/>
    <col min="10" max="10" width="3.140625" style="83" customWidth="1"/>
    <col min="11" max="11" width="3.42578125" style="83" customWidth="1"/>
    <col min="12" max="16384" width="9.140625" style="83"/>
  </cols>
  <sheetData>
    <row r="2" spans="1:12" ht="15.75" customHeight="1">
      <c r="C2" s="88" t="s">
        <v>6</v>
      </c>
      <c r="D2" s="241" t="s">
        <v>264</v>
      </c>
      <c r="E2" s="241"/>
      <c r="F2" s="241"/>
      <c r="G2" s="241"/>
      <c r="H2" s="241"/>
      <c r="I2" s="241"/>
      <c r="J2" s="241"/>
      <c r="K2" s="89"/>
      <c r="L2" s="89"/>
    </row>
    <row r="3" spans="1:12">
      <c r="D3" s="241"/>
      <c r="E3" s="241"/>
      <c r="F3" s="241"/>
      <c r="G3" s="241"/>
      <c r="H3" s="241"/>
      <c r="I3" s="241"/>
      <c r="J3" s="241"/>
      <c r="K3" s="89"/>
      <c r="L3" s="89"/>
    </row>
    <row r="4" spans="1:12">
      <c r="D4" s="241"/>
      <c r="E4" s="241"/>
      <c r="F4" s="241"/>
      <c r="G4" s="241"/>
      <c r="H4" s="241"/>
      <c r="I4" s="241"/>
      <c r="J4" s="241"/>
      <c r="K4" s="89"/>
      <c r="L4" s="89"/>
    </row>
    <row r="5" spans="1:12">
      <c r="D5" s="241"/>
      <c r="E5" s="241"/>
      <c r="F5" s="241"/>
      <c r="G5" s="241"/>
      <c r="H5" s="241"/>
      <c r="I5" s="241"/>
      <c r="J5" s="241"/>
      <c r="K5" s="90"/>
    </row>
    <row r="6" spans="1:12" ht="27">
      <c r="F6" s="91" t="s">
        <v>60</v>
      </c>
      <c r="I6" s="91"/>
    </row>
    <row r="8" spans="1:12" s="92" customFormat="1">
      <c r="A8" s="146"/>
      <c r="B8" s="147" t="s">
        <v>59</v>
      </c>
      <c r="C8" s="148" t="s">
        <v>58</v>
      </c>
      <c r="D8" s="149"/>
      <c r="E8" s="149"/>
      <c r="F8" s="149"/>
      <c r="G8" s="150"/>
      <c r="H8" s="243" t="s">
        <v>57</v>
      </c>
      <c r="I8" s="243"/>
      <c r="J8" s="244"/>
      <c r="K8" s="244"/>
    </row>
    <row r="10" spans="1:12">
      <c r="C10" s="42" t="s">
        <v>435</v>
      </c>
    </row>
    <row r="11" spans="1:12">
      <c r="B11" s="93" t="s">
        <v>56</v>
      </c>
      <c r="C11" s="94" t="s">
        <v>55</v>
      </c>
      <c r="D11" s="94"/>
      <c r="H11" s="95" t="e">
        <f>'(Abs)'!#REF!</f>
        <v>#REF!</v>
      </c>
      <c r="I11" s="96" t="s">
        <v>9</v>
      </c>
    </row>
    <row r="13" spans="1:12" s="97" customFormat="1">
      <c r="B13" s="83"/>
      <c r="C13" s="42"/>
      <c r="D13" s="83"/>
      <c r="E13" s="83"/>
      <c r="F13" s="83"/>
      <c r="G13" s="83"/>
      <c r="H13" s="83"/>
      <c r="I13" s="83"/>
      <c r="J13" s="83"/>
    </row>
    <row r="14" spans="1:12" s="97" customFormat="1">
      <c r="A14" s="83"/>
      <c r="B14" s="93"/>
      <c r="C14" s="94"/>
      <c r="D14" s="94"/>
      <c r="E14" s="83"/>
      <c r="F14" s="83"/>
      <c r="G14" s="83"/>
      <c r="H14" s="95"/>
      <c r="I14" s="99"/>
      <c r="J14" s="83"/>
      <c r="K14" s="83"/>
    </row>
    <row r="15" spans="1:12" s="97" customFormat="1">
      <c r="A15" s="83"/>
      <c r="B15" s="93"/>
      <c r="C15" s="94"/>
      <c r="D15" s="94"/>
      <c r="E15" s="83"/>
      <c r="F15" s="83"/>
      <c r="G15" s="83"/>
      <c r="H15" s="95"/>
      <c r="I15" s="96"/>
      <c r="J15" s="83"/>
      <c r="K15" s="83"/>
    </row>
    <row r="16" spans="1:12" s="97" customFormat="1">
      <c r="A16" s="83"/>
      <c r="B16" s="100"/>
      <c r="C16" s="83"/>
      <c r="D16" s="83"/>
      <c r="E16" s="83"/>
      <c r="F16" s="83"/>
      <c r="G16" s="83"/>
      <c r="H16" s="101"/>
      <c r="I16" s="96"/>
      <c r="J16" s="83"/>
      <c r="K16" s="83"/>
    </row>
    <row r="17" spans="1:12" s="97" customFormat="1">
      <c r="A17" s="83"/>
      <c r="B17" s="83"/>
      <c r="C17" s="42"/>
      <c r="D17" s="83"/>
      <c r="E17" s="83"/>
      <c r="F17" s="83"/>
      <c r="G17" s="83"/>
      <c r="H17" s="83"/>
      <c r="I17" s="83"/>
      <c r="J17" s="83"/>
      <c r="K17" s="83"/>
    </row>
    <row r="18" spans="1:12" s="97" customFormat="1">
      <c r="A18" s="83"/>
      <c r="B18" s="93"/>
      <c r="C18" s="94"/>
      <c r="D18" s="94"/>
      <c r="E18" s="83"/>
      <c r="F18" s="83"/>
      <c r="G18" s="83"/>
      <c r="H18" s="95"/>
      <c r="I18" s="99"/>
      <c r="J18" s="83"/>
      <c r="K18" s="83"/>
    </row>
    <row r="19" spans="1:12">
      <c r="B19" s="100"/>
      <c r="H19" s="101"/>
      <c r="I19" s="96"/>
      <c r="L19" s="97"/>
    </row>
    <row r="20" spans="1:12" ht="16.5" thickBot="1">
      <c r="C20" s="42"/>
      <c r="L20" s="97"/>
    </row>
    <row r="21" spans="1:12" ht="16.5" thickBot="1">
      <c r="A21" s="97"/>
      <c r="B21" s="97"/>
      <c r="C21" s="97"/>
      <c r="D21" s="97"/>
      <c r="E21" s="97"/>
      <c r="F21" s="98"/>
      <c r="G21" s="88" t="s">
        <v>54</v>
      </c>
      <c r="H21" s="102" t="e">
        <f>SUM(H11:H13)</f>
        <v>#REF!</v>
      </c>
      <c r="I21" s="103" t="s">
        <v>9</v>
      </c>
    </row>
    <row r="22" spans="1:12">
      <c r="A22" s="97"/>
      <c r="B22" s="93"/>
      <c r="C22" s="94"/>
      <c r="D22" s="94"/>
      <c r="H22" s="95"/>
      <c r="I22" s="99"/>
      <c r="J22" s="97"/>
      <c r="K22" s="97"/>
    </row>
    <row r="23" spans="1:12">
      <c r="A23" s="97"/>
      <c r="B23" s="100"/>
      <c r="H23" s="95"/>
      <c r="I23" s="99"/>
      <c r="J23" s="97"/>
      <c r="K23" s="97"/>
    </row>
    <row r="24" spans="1:12">
      <c r="A24" s="195"/>
      <c r="B24" s="195"/>
      <c r="C24" s="195"/>
      <c r="D24" s="195"/>
      <c r="E24" s="195"/>
      <c r="F24" s="196"/>
      <c r="G24" s="197"/>
      <c r="H24" s="198"/>
      <c r="I24" s="199"/>
      <c r="J24" s="195"/>
      <c r="K24" s="97"/>
    </row>
    <row r="25" spans="1:12">
      <c r="A25" s="97"/>
      <c r="B25" s="93"/>
      <c r="C25" s="94"/>
      <c r="D25" s="94"/>
      <c r="H25" s="95"/>
      <c r="I25" s="99"/>
      <c r="J25" s="97"/>
      <c r="K25" s="97"/>
    </row>
    <row r="26" spans="1:12">
      <c r="A26" s="97"/>
      <c r="B26" s="100"/>
      <c r="H26" s="95"/>
      <c r="I26" s="99"/>
      <c r="J26" s="97"/>
      <c r="K26" s="97"/>
    </row>
    <row r="27" spans="1:12">
      <c r="A27" s="97"/>
      <c r="B27" s="97"/>
      <c r="C27" s="97"/>
      <c r="D27" s="97"/>
      <c r="E27" s="97"/>
      <c r="F27" s="98"/>
      <c r="G27" s="93"/>
      <c r="H27" s="105"/>
      <c r="I27" s="106"/>
      <c r="J27" s="104"/>
      <c r="K27" s="96"/>
    </row>
    <row r="28" spans="1:12">
      <c r="A28" s="97"/>
      <c r="B28" s="97"/>
      <c r="C28" s="97"/>
      <c r="D28" s="97"/>
      <c r="E28" s="97"/>
      <c r="F28" s="97"/>
      <c r="G28" s="100"/>
      <c r="H28" s="105"/>
      <c r="I28" s="106"/>
      <c r="J28" s="104"/>
      <c r="K28" s="96"/>
    </row>
    <row r="29" spans="1:12" s="97" customFormat="1">
      <c r="G29" s="100"/>
      <c r="H29" s="105"/>
      <c r="I29" s="106"/>
      <c r="J29" s="104"/>
      <c r="K29" s="96"/>
      <c r="L29" s="83"/>
    </row>
    <row r="30" spans="1:12" s="97" customFormat="1">
      <c r="A30" s="83"/>
      <c r="B30" s="92"/>
      <c r="C30" s="107" t="s">
        <v>53</v>
      </c>
      <c r="D30" s="107"/>
      <c r="E30" s="108"/>
      <c r="F30" s="83"/>
      <c r="G30" s="143" t="s">
        <v>52</v>
      </c>
      <c r="H30" s="143"/>
      <c r="I30" s="143"/>
      <c r="J30" s="143"/>
      <c r="K30" s="96"/>
      <c r="L30" s="83"/>
    </row>
    <row r="31" spans="1:12" s="97" customFormat="1">
      <c r="A31" s="242" t="s">
        <v>61</v>
      </c>
      <c r="B31" s="242"/>
      <c r="C31" s="242"/>
      <c r="D31" s="242"/>
      <c r="E31" s="242"/>
      <c r="F31" s="109"/>
      <c r="G31" s="142" t="s">
        <v>62</v>
      </c>
      <c r="H31" s="142"/>
      <c r="I31" s="142"/>
      <c r="J31" s="142"/>
      <c r="K31" s="96"/>
    </row>
    <row r="32" spans="1:12" s="97" customFormat="1">
      <c r="A32" s="83"/>
      <c r="B32" s="83"/>
      <c r="C32" s="109" t="s">
        <v>51</v>
      </c>
      <c r="D32" s="109"/>
      <c r="E32" s="109"/>
      <c r="F32" s="83"/>
      <c r="G32" s="142" t="s">
        <v>51</v>
      </c>
      <c r="H32" s="142"/>
      <c r="I32" s="142"/>
      <c r="J32" s="142"/>
      <c r="K32" s="96"/>
    </row>
    <row r="33" spans="1:12" s="97" customForma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143"/>
    </row>
    <row r="34" spans="1:12" s="97" customFormat="1">
      <c r="A34" s="83"/>
      <c r="B34" s="83"/>
      <c r="C34" s="83"/>
      <c r="D34" s="83"/>
      <c r="E34" s="83"/>
      <c r="F34" s="110"/>
      <c r="G34" s="83"/>
      <c r="H34" s="83"/>
      <c r="I34" s="83"/>
      <c r="J34" s="83"/>
      <c r="K34" s="142"/>
    </row>
    <row r="35" spans="1:12" s="97" customForma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142"/>
    </row>
    <row r="36" spans="1:12" s="97" customForma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</row>
    <row r="37" spans="1:12" s="97" customForma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2" s="97" customForma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2" s="97" customForma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</row>
    <row r="40" spans="1:12" s="97" customForma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2">
      <c r="L41" s="97"/>
    </row>
    <row r="42" spans="1:12">
      <c r="L42" s="97"/>
    </row>
  </sheetData>
  <mergeCells count="4">
    <mergeCell ref="D2:J5"/>
    <mergeCell ref="A31:E31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95"/>
  <sheetViews>
    <sheetView tabSelected="1" view="pageBreakPreview" workbookViewId="0">
      <selection activeCell="C7" sqref="C7"/>
    </sheetView>
  </sheetViews>
  <sheetFormatPr defaultRowHeight="15"/>
  <cols>
    <col min="1" max="1" width="5.7109375" style="37" customWidth="1"/>
    <col min="2" max="2" width="16.5703125" style="38" customWidth="1"/>
    <col min="3" max="3" width="20.7109375" style="38" customWidth="1"/>
    <col min="4" max="4" width="10.5703125" style="38" customWidth="1"/>
    <col min="5" max="5" width="4.85546875" style="38" customWidth="1"/>
    <col min="6" max="6" width="8" style="38" customWidth="1"/>
    <col min="7" max="7" width="0.85546875" style="38" customWidth="1"/>
    <col min="8" max="8" width="3.42578125" style="65" customWidth="1"/>
    <col min="9" max="9" width="8.140625" style="38" customWidth="1"/>
    <col min="10" max="10" width="12.7109375" style="38" customWidth="1"/>
    <col min="11" max="11" width="2.28515625" style="38" customWidth="1"/>
    <col min="12" max="12" width="4.140625" style="38" customWidth="1"/>
    <col min="13" max="13" width="11.28515625" style="38" bestFit="1" customWidth="1"/>
    <col min="14" max="16384" width="9.140625" style="38"/>
  </cols>
  <sheetData>
    <row r="1" spans="1:11" ht="15" customHeight="1">
      <c r="A1" s="37" t="s">
        <v>6</v>
      </c>
      <c r="B1" s="37"/>
      <c r="C1" s="256" t="s">
        <v>478</v>
      </c>
      <c r="D1" s="256"/>
      <c r="E1" s="256"/>
      <c r="F1" s="256"/>
      <c r="G1" s="256"/>
      <c r="H1" s="256"/>
      <c r="I1" s="256"/>
      <c r="J1" s="256"/>
      <c r="K1" s="256"/>
    </row>
    <row r="2" spans="1:11" ht="18" customHeight="1">
      <c r="C2" s="256"/>
      <c r="D2" s="256"/>
      <c r="E2" s="256"/>
      <c r="F2" s="256"/>
      <c r="G2" s="256"/>
      <c r="H2" s="256"/>
      <c r="I2" s="256"/>
      <c r="J2" s="256"/>
      <c r="K2" s="256"/>
    </row>
    <row r="3" spans="1:11" ht="18" customHeight="1">
      <c r="C3" s="256"/>
      <c r="D3" s="256"/>
      <c r="E3" s="256"/>
      <c r="F3" s="256"/>
      <c r="G3" s="256"/>
      <c r="H3" s="256"/>
      <c r="I3" s="256"/>
      <c r="J3" s="256"/>
      <c r="K3" s="256"/>
    </row>
    <row r="4" spans="1:11" ht="15" customHeight="1" thickBot="1">
      <c r="C4" s="37"/>
      <c r="D4" s="39" t="s">
        <v>437</v>
      </c>
      <c r="E4" s="40"/>
      <c r="F4" s="40"/>
      <c r="G4" s="41"/>
      <c r="H4" s="42"/>
    </row>
    <row r="5" spans="1:11" ht="15" customHeight="1" thickBot="1">
      <c r="A5" s="43" t="s">
        <v>5</v>
      </c>
      <c r="B5" s="44" t="s">
        <v>14</v>
      </c>
      <c r="C5" s="45"/>
      <c r="D5" s="46" t="s">
        <v>13</v>
      </c>
      <c r="E5" s="45"/>
      <c r="F5" s="45" t="s">
        <v>12</v>
      </c>
      <c r="G5" s="46"/>
      <c r="H5" s="47"/>
      <c r="I5" s="48" t="s">
        <v>10</v>
      </c>
      <c r="J5" s="45" t="s">
        <v>11</v>
      </c>
      <c r="K5" s="49"/>
    </row>
    <row r="6" spans="1:11" ht="18" customHeight="1">
      <c r="A6" s="50"/>
      <c r="B6" s="29" t="s">
        <v>65</v>
      </c>
      <c r="D6" s="50"/>
      <c r="E6" s="50"/>
      <c r="F6" s="50"/>
      <c r="G6" s="50"/>
      <c r="H6" s="51"/>
      <c r="I6" s="50"/>
      <c r="J6" s="50"/>
      <c r="K6" s="50"/>
    </row>
    <row r="7" spans="1:11" ht="14.1" customHeight="1">
      <c r="A7" s="50"/>
      <c r="B7" s="29" t="s">
        <v>49</v>
      </c>
      <c r="D7" s="50"/>
      <c r="E7" s="50"/>
      <c r="F7" s="50"/>
      <c r="G7" s="50"/>
      <c r="H7" s="51"/>
      <c r="I7" s="50"/>
      <c r="J7" s="50"/>
      <c r="K7" s="50"/>
    </row>
    <row r="8" spans="1:11" ht="14.1" customHeight="1">
      <c r="A8" s="108">
        <v>1</v>
      </c>
      <c r="B8" s="97" t="s">
        <v>133</v>
      </c>
      <c r="C8" s="97"/>
      <c r="D8" s="93"/>
      <c r="E8" s="126"/>
      <c r="F8" s="100"/>
      <c r="G8" s="83"/>
      <c r="H8" s="122"/>
      <c r="I8" s="120"/>
      <c r="J8" s="127"/>
      <c r="K8" s="122"/>
    </row>
    <row r="9" spans="1:11" ht="14.1" customHeight="1">
      <c r="A9" s="108"/>
      <c r="B9" s="97" t="s">
        <v>134</v>
      </c>
      <c r="C9" s="97"/>
      <c r="D9" s="93"/>
      <c r="E9" s="126"/>
      <c r="F9" s="100"/>
      <c r="G9" s="83"/>
      <c r="H9" s="122"/>
      <c r="I9" s="120"/>
      <c r="J9" s="127"/>
      <c r="K9" s="122"/>
    </row>
    <row r="10" spans="1:11" ht="14.1" customHeight="1">
      <c r="A10" s="108"/>
      <c r="B10" s="97" t="s">
        <v>135</v>
      </c>
      <c r="C10" s="97"/>
      <c r="D10" s="93"/>
      <c r="E10" s="126"/>
      <c r="F10" s="100"/>
      <c r="G10" s="83"/>
      <c r="H10" s="122"/>
      <c r="I10" s="120"/>
      <c r="J10" s="127"/>
      <c r="K10" s="122"/>
    </row>
    <row r="11" spans="1:11" ht="14.1" customHeight="1">
      <c r="A11" s="108"/>
      <c r="B11" s="97" t="s">
        <v>136</v>
      </c>
      <c r="C11" s="97"/>
      <c r="D11" s="93"/>
      <c r="E11" s="126"/>
      <c r="F11" s="100"/>
      <c r="G11" s="83"/>
      <c r="H11" s="122"/>
      <c r="I11" s="120"/>
      <c r="J11" s="127"/>
      <c r="K11" s="122"/>
    </row>
    <row r="12" spans="1:11" ht="14.1" customHeight="1">
      <c r="A12" s="108"/>
      <c r="B12" s="97" t="s">
        <v>137</v>
      </c>
      <c r="C12" s="97"/>
      <c r="D12" s="93"/>
      <c r="E12" s="126"/>
      <c r="F12" s="100"/>
      <c r="G12" s="83"/>
      <c r="H12" s="122"/>
      <c r="I12" s="120"/>
      <c r="J12" s="127"/>
      <c r="K12" s="122"/>
    </row>
    <row r="13" spans="1:11" ht="14.1" customHeight="1">
      <c r="A13" s="108"/>
      <c r="B13" s="97" t="s">
        <v>138</v>
      </c>
      <c r="C13" s="97"/>
      <c r="D13" s="93"/>
      <c r="E13" s="126"/>
      <c r="F13" s="100"/>
      <c r="G13" s="83"/>
      <c r="H13" s="122"/>
      <c r="I13" s="120"/>
      <c r="J13" s="127"/>
      <c r="K13" s="122"/>
    </row>
    <row r="14" spans="1:11" ht="14.1" customHeight="1">
      <c r="A14" s="108"/>
      <c r="B14" s="97" t="s">
        <v>139</v>
      </c>
      <c r="C14" s="97"/>
      <c r="D14" s="93"/>
      <c r="E14" s="126"/>
      <c r="F14" s="100"/>
      <c r="G14" s="83"/>
      <c r="H14" s="122"/>
      <c r="I14" s="120"/>
      <c r="J14" s="127"/>
      <c r="K14" s="122"/>
    </row>
    <row r="15" spans="1:11" ht="14.1" customHeight="1">
      <c r="A15" s="108"/>
      <c r="B15" s="97" t="s">
        <v>140</v>
      </c>
      <c r="C15" s="97"/>
      <c r="D15" s="93"/>
      <c r="E15" s="126"/>
      <c r="F15" s="100"/>
      <c r="G15" s="83"/>
      <c r="H15" s="122"/>
      <c r="I15" s="120"/>
      <c r="J15" s="127"/>
      <c r="K15" s="122"/>
    </row>
    <row r="16" spans="1:11" ht="14.1" customHeight="1">
      <c r="A16" s="108"/>
      <c r="B16" s="97" t="s">
        <v>141</v>
      </c>
      <c r="C16" s="97"/>
      <c r="D16" s="93"/>
      <c r="E16" s="126"/>
      <c r="F16" s="100"/>
      <c r="G16" s="83"/>
      <c r="H16" s="122"/>
      <c r="I16" s="120"/>
      <c r="J16" s="127"/>
      <c r="K16" s="122"/>
    </row>
    <row r="17" spans="1:11" ht="14.1" customHeight="1">
      <c r="A17" s="108"/>
      <c r="B17" s="97" t="s">
        <v>142</v>
      </c>
      <c r="C17" s="97"/>
      <c r="D17" s="93"/>
      <c r="E17" s="126"/>
      <c r="F17" s="100"/>
      <c r="G17" s="83"/>
      <c r="H17" s="122"/>
      <c r="I17" s="120"/>
      <c r="J17" s="127"/>
      <c r="K17" s="122"/>
    </row>
    <row r="18" spans="1:11" ht="14.1" customHeight="1">
      <c r="A18" s="108"/>
      <c r="B18" s="97" t="s">
        <v>143</v>
      </c>
      <c r="C18" s="97"/>
      <c r="D18" s="93"/>
      <c r="E18" s="126"/>
      <c r="F18" s="100"/>
      <c r="G18" s="83"/>
      <c r="H18" s="122"/>
      <c r="I18" s="120"/>
      <c r="J18" s="127"/>
      <c r="K18" s="122"/>
    </row>
    <row r="19" spans="1:11" ht="14.1" customHeight="1">
      <c r="A19" s="108"/>
      <c r="B19" s="97" t="s">
        <v>144</v>
      </c>
      <c r="C19" s="97"/>
      <c r="D19" s="93"/>
      <c r="E19" s="126"/>
      <c r="F19" s="100"/>
      <c r="G19" s="83"/>
      <c r="H19" s="122"/>
      <c r="I19" s="120"/>
      <c r="J19" s="127"/>
      <c r="K19" s="122"/>
    </row>
    <row r="20" spans="1:11" ht="14.1" customHeight="1">
      <c r="A20" s="108"/>
      <c r="B20" s="97" t="s">
        <v>145</v>
      </c>
      <c r="C20" s="97"/>
      <c r="D20" s="128">
        <f>Mes!J60</f>
        <v>3906</v>
      </c>
      <c r="E20" s="126" t="s">
        <v>74</v>
      </c>
      <c r="F20" s="100">
        <v>337</v>
      </c>
      <c r="G20" s="123" t="s">
        <v>7</v>
      </c>
      <c r="H20" s="129">
        <v>0</v>
      </c>
      <c r="I20" s="120" t="s">
        <v>146</v>
      </c>
      <c r="J20" s="124">
        <f>IF(MID(I20,1,2)=("P."),(ROUND(D20*((F20)+(H20/100)),)),IF(MID(I20,1,2)=("%o"),(ROUND(D20*(((F20)+(H20/100))/1000),)),IF(MID(I20,1,2)=("Ea"),(ROUND(D20*((F20)+(H20/100)),)),ROUND(D20*(((F20)+(H20/100))/100),))))</f>
        <v>1316322</v>
      </c>
      <c r="K20" s="125" t="s">
        <v>9</v>
      </c>
    </row>
    <row r="21" spans="1:11" ht="14.1" customHeight="1">
      <c r="A21" s="108"/>
      <c r="B21" s="97"/>
      <c r="C21" s="97"/>
      <c r="D21" s="257" t="s">
        <v>438</v>
      </c>
      <c r="E21" s="257"/>
      <c r="F21" s="257"/>
      <c r="G21" s="257"/>
      <c r="H21" s="257"/>
      <c r="I21" s="257"/>
      <c r="J21" s="257"/>
      <c r="K21" s="257"/>
    </row>
    <row r="22" spans="1:11" ht="14.1" customHeight="1">
      <c r="A22" s="52">
        <v>2</v>
      </c>
      <c r="B22" s="53" t="s">
        <v>158</v>
      </c>
      <c r="C22" s="53"/>
      <c r="D22" s="55"/>
      <c r="E22" s="66"/>
      <c r="F22" s="57"/>
      <c r="G22" s="58"/>
      <c r="H22" s="59"/>
      <c r="I22" s="60"/>
      <c r="J22" s="61"/>
      <c r="K22" s="67"/>
    </row>
    <row r="23" spans="1:11" ht="14.1" customHeight="1">
      <c r="A23" s="52"/>
      <c r="B23" s="53" t="s">
        <v>159</v>
      </c>
      <c r="C23" s="53"/>
      <c r="D23" s="55"/>
      <c r="E23" s="66"/>
      <c r="F23" s="57"/>
      <c r="G23" s="58"/>
      <c r="H23" s="59"/>
      <c r="I23" s="60"/>
      <c r="J23" s="61"/>
      <c r="K23" s="67"/>
    </row>
    <row r="24" spans="1:11" ht="14.1" customHeight="1">
      <c r="A24" s="52"/>
      <c r="B24" s="53" t="s">
        <v>160</v>
      </c>
      <c r="C24" s="53"/>
      <c r="D24" s="55"/>
      <c r="E24" s="66"/>
      <c r="F24" s="57"/>
      <c r="G24" s="58"/>
      <c r="H24" s="59"/>
      <c r="I24" s="60"/>
      <c r="J24" s="61"/>
      <c r="K24" s="67"/>
    </row>
    <row r="25" spans="1:11" ht="14.1" customHeight="1">
      <c r="A25" s="52"/>
      <c r="B25" s="53" t="s">
        <v>161</v>
      </c>
      <c r="C25" s="53"/>
      <c r="D25" s="55"/>
      <c r="E25" s="66"/>
      <c r="F25" s="57"/>
      <c r="G25" s="58"/>
      <c r="H25" s="59"/>
      <c r="I25" s="60"/>
      <c r="J25" s="61"/>
      <c r="K25" s="67"/>
    </row>
    <row r="26" spans="1:11" ht="14.1" customHeight="1">
      <c r="A26" s="52"/>
      <c r="B26" s="53" t="s">
        <v>162</v>
      </c>
      <c r="C26" s="53"/>
      <c r="D26" s="55">
        <f>Mes!J83</f>
        <v>958</v>
      </c>
      <c r="E26" s="56" t="s">
        <v>74</v>
      </c>
      <c r="F26" s="57">
        <v>15771</v>
      </c>
      <c r="G26" s="58" t="s">
        <v>7</v>
      </c>
      <c r="H26" s="59">
        <v>1</v>
      </c>
      <c r="I26" s="60" t="s">
        <v>132</v>
      </c>
      <c r="J26" s="61">
        <f>IF(MID(I26,1,2)=("P."),(ROUND(D26*((F26)+(H26/100)),)),IF(MID(I26,1,2)=("%o"),(ROUND(D26*(((F26)+(H26/100))/1000),)),IF(MID(I26,1,2)=("Ea"),(ROUND(D26*((F26)+(H26/100)),)),ROUND(D26*(((F26)+(H26/100))/100),))))</f>
        <v>151086</v>
      </c>
      <c r="K26" s="62" t="s">
        <v>9</v>
      </c>
    </row>
    <row r="27" spans="1:11" ht="14.1" customHeight="1">
      <c r="A27" s="52"/>
      <c r="B27" s="53"/>
      <c r="C27" s="53"/>
      <c r="D27" s="258" t="s">
        <v>439</v>
      </c>
      <c r="E27" s="258"/>
      <c r="F27" s="258"/>
      <c r="G27" s="258"/>
      <c r="H27" s="258"/>
      <c r="I27" s="258"/>
      <c r="J27" s="258"/>
      <c r="K27" s="258"/>
    </row>
    <row r="28" spans="1:11" ht="14.1" customHeight="1">
      <c r="A28" s="108">
        <v>3</v>
      </c>
      <c r="B28" s="83" t="s">
        <v>147</v>
      </c>
      <c r="C28" s="83"/>
      <c r="D28" s="93"/>
      <c r="E28" s="120"/>
      <c r="F28" s="120"/>
      <c r="G28" s="100"/>
      <c r="H28" s="83"/>
      <c r="I28" s="83"/>
      <c r="J28" s="124"/>
      <c r="K28" s="83"/>
    </row>
    <row r="29" spans="1:11" ht="14.1" customHeight="1">
      <c r="A29" s="108"/>
      <c r="B29" s="83" t="s">
        <v>148</v>
      </c>
      <c r="C29" s="83"/>
      <c r="D29" s="93"/>
      <c r="E29" s="120"/>
      <c r="F29" s="120"/>
      <c r="G29" s="100"/>
      <c r="H29" s="83"/>
      <c r="I29" s="83"/>
      <c r="J29" s="83"/>
      <c r="K29" s="83"/>
    </row>
    <row r="30" spans="1:11" ht="14.1" customHeight="1">
      <c r="A30" s="108"/>
      <c r="B30" s="83" t="s">
        <v>149</v>
      </c>
      <c r="C30" s="83"/>
      <c r="D30" s="93"/>
      <c r="E30" s="120"/>
      <c r="F30" s="120"/>
      <c r="G30" s="100"/>
      <c r="H30" s="83"/>
      <c r="I30" s="83"/>
      <c r="J30" s="83"/>
      <c r="K30" s="83"/>
    </row>
    <row r="31" spans="1:11" ht="14.1" customHeight="1">
      <c r="A31" s="108"/>
      <c r="B31" s="83" t="s">
        <v>150</v>
      </c>
      <c r="C31" s="83"/>
      <c r="D31" s="93"/>
      <c r="E31" s="120"/>
      <c r="F31" s="120"/>
      <c r="G31" s="100"/>
      <c r="H31" s="83"/>
      <c r="I31" s="83"/>
      <c r="J31" s="83"/>
      <c r="K31" s="83"/>
    </row>
    <row r="32" spans="1:11" ht="14.1" customHeight="1">
      <c r="A32" s="108"/>
      <c r="B32" s="83" t="s">
        <v>151</v>
      </c>
      <c r="C32" s="83"/>
      <c r="D32" s="93"/>
      <c r="E32" s="120"/>
      <c r="F32" s="120"/>
      <c r="G32" s="100"/>
      <c r="H32" s="83"/>
      <c r="I32" s="83"/>
      <c r="J32" s="83"/>
      <c r="K32" s="83"/>
    </row>
    <row r="33" spans="1:11" ht="14.1" customHeight="1">
      <c r="A33" s="108"/>
      <c r="B33" s="83" t="s">
        <v>152</v>
      </c>
      <c r="C33" s="83"/>
      <c r="D33" s="55">
        <f>Mes!J86</f>
        <v>209.25</v>
      </c>
      <c r="E33" s="56" t="s">
        <v>131</v>
      </c>
      <c r="F33" s="57">
        <v>5001</v>
      </c>
      <c r="G33" s="58" t="s">
        <v>7</v>
      </c>
      <c r="H33" s="59">
        <v>70</v>
      </c>
      <c r="I33" s="60" t="s">
        <v>153</v>
      </c>
      <c r="J33" s="61">
        <f>IF(MID(I33,1,2)=("P."),(ROUND(D33*((F33)+(H33/100)),)),IF(MID(I33,1,2)=("%o"),(ROUND(D33*(((F33)+(H33/100))/1000),)),IF(MID(I33,1,2)=("Ea"),(ROUND(D33*((F33)+(H33/100)),)),ROUND(D33*(((F33)+(H33/100))/100),))))</f>
        <v>1046606</v>
      </c>
      <c r="K33" s="62" t="s">
        <v>9</v>
      </c>
    </row>
    <row r="34" spans="1:11" ht="14.1" customHeight="1">
      <c r="A34" s="108"/>
      <c r="B34" s="83"/>
      <c r="C34" s="83"/>
      <c r="D34" s="257" t="s">
        <v>440</v>
      </c>
      <c r="E34" s="257"/>
      <c r="F34" s="257"/>
      <c r="G34" s="257"/>
      <c r="H34" s="257"/>
      <c r="I34" s="257"/>
      <c r="J34" s="257"/>
      <c r="K34" s="257"/>
    </row>
    <row r="35" spans="1:11" ht="14.1" customHeight="1">
      <c r="A35" s="52">
        <v>4</v>
      </c>
      <c r="B35" s="38" t="s">
        <v>71</v>
      </c>
      <c r="C35" s="53"/>
      <c r="D35" s="77"/>
      <c r="E35" s="78"/>
      <c r="F35" s="57"/>
      <c r="G35" s="60"/>
      <c r="H35" s="78"/>
      <c r="I35" s="60"/>
      <c r="J35" s="57"/>
      <c r="K35" s="78"/>
    </row>
    <row r="36" spans="1:11" ht="14.1" customHeight="1">
      <c r="A36" s="52"/>
      <c r="B36" s="38" t="s">
        <v>72</v>
      </c>
      <c r="C36" s="53"/>
      <c r="D36" s="139">
        <f>Mes!J110</f>
        <v>5123.5</v>
      </c>
      <c r="E36" s="132" t="s">
        <v>74</v>
      </c>
      <c r="F36" s="133">
        <v>3015</v>
      </c>
      <c r="G36" s="134" t="s">
        <v>7</v>
      </c>
      <c r="H36" s="132">
        <v>76</v>
      </c>
      <c r="I36" s="136" t="s">
        <v>66</v>
      </c>
      <c r="J36" s="137">
        <f>IF(MID(I36,1,2)=("P."),(ROUND(D36*((F36)+(H36/100)),)),IF(MID(I36,1,2)=("%o"),(ROUND(D36*(((F36)+(H36/100))/1000),)),IF(MID(I36,1,2)=("Ea"),(ROUND(D36*((F36)+(H36/100)),)),ROUND(D36*(((F36)+(H36/100))/100),))))</f>
        <v>154512</v>
      </c>
      <c r="K36" s="138" t="s">
        <v>9</v>
      </c>
    </row>
    <row r="37" spans="1:11" ht="14.1" customHeight="1">
      <c r="A37" s="52"/>
      <c r="C37" s="53"/>
      <c r="D37" s="259" t="s">
        <v>441</v>
      </c>
      <c r="E37" s="259"/>
      <c r="F37" s="259"/>
      <c r="G37" s="259"/>
      <c r="H37" s="259"/>
      <c r="I37" s="259"/>
      <c r="J37" s="259"/>
      <c r="K37" s="259"/>
    </row>
    <row r="38" spans="1:11" ht="14.1" customHeight="1">
      <c r="A38" s="163">
        <v>5</v>
      </c>
      <c r="B38" s="164" t="s">
        <v>411</v>
      </c>
      <c r="C38" s="164"/>
      <c r="D38" s="165"/>
      <c r="E38" s="166"/>
      <c r="F38" s="167"/>
      <c r="G38" s="168"/>
      <c r="H38" s="169"/>
      <c r="I38" s="170"/>
      <c r="J38" s="171"/>
      <c r="K38" s="172"/>
    </row>
    <row r="39" spans="1:11" ht="14.1" customHeight="1">
      <c r="A39" s="163"/>
      <c r="B39" s="164" t="s">
        <v>412</v>
      </c>
      <c r="C39" s="164"/>
      <c r="D39" s="165"/>
      <c r="E39" s="166"/>
      <c r="F39" s="167"/>
      <c r="G39" s="168"/>
      <c r="H39" s="169"/>
      <c r="I39" s="170"/>
      <c r="J39" s="171"/>
      <c r="K39" s="172"/>
    </row>
    <row r="40" spans="1:11" ht="14.1" customHeight="1">
      <c r="A40" s="163"/>
      <c r="B40" s="164" t="s">
        <v>413</v>
      </c>
      <c r="C40" s="164"/>
      <c r="D40" s="165">
        <f>Mes!J113</f>
        <v>243</v>
      </c>
      <c r="E40" s="166" t="s">
        <v>8</v>
      </c>
      <c r="F40" s="167">
        <v>2401</v>
      </c>
      <c r="G40" s="168" t="s">
        <v>7</v>
      </c>
      <c r="H40" s="169">
        <v>58</v>
      </c>
      <c r="I40" s="170" t="s">
        <v>66</v>
      </c>
      <c r="J40" s="171">
        <f>IF(MID(I40,1,2)=("P."),(ROUND(D40*((F40)+(H40/100)),)),IF(MID(I40,1,2)=("%o"),(ROUND(D40*(((F40)+(H40/100))/1000),)),IF(MID(I40,1,2)=("Ea"),(ROUND(D40*((F40)+(H40/100)),)),ROUND(D40*(((F40)+(H40/100))/100),))))</f>
        <v>5836</v>
      </c>
      <c r="K40" s="172" t="s">
        <v>9</v>
      </c>
    </row>
    <row r="41" spans="1:11" ht="14.1" customHeight="1">
      <c r="A41" s="52"/>
      <c r="B41" s="53"/>
      <c r="C41" s="53"/>
      <c r="D41" s="252" t="s">
        <v>442</v>
      </c>
      <c r="E41" s="252"/>
      <c r="F41" s="252"/>
      <c r="G41" s="252"/>
      <c r="H41" s="252"/>
      <c r="I41" s="252"/>
      <c r="J41" s="252"/>
      <c r="K41" s="252"/>
    </row>
    <row r="42" spans="1:11" ht="14.1" customHeight="1">
      <c r="A42" s="143">
        <v>6</v>
      </c>
      <c r="B42" s="92" t="s">
        <v>154</v>
      </c>
      <c r="C42" s="92"/>
      <c r="D42" s="131"/>
      <c r="E42" s="132"/>
      <c r="F42" s="133"/>
      <c r="G42" s="134"/>
      <c r="H42" s="135"/>
      <c r="I42" s="136"/>
      <c r="J42" s="137"/>
      <c r="K42" s="78"/>
    </row>
    <row r="43" spans="1:11" ht="14.1" customHeight="1">
      <c r="A43" s="143"/>
      <c r="B43" s="92" t="s">
        <v>155</v>
      </c>
      <c r="C43" s="92"/>
      <c r="D43" s="131"/>
      <c r="E43" s="132"/>
      <c r="F43" s="133"/>
      <c r="G43" s="134"/>
      <c r="H43" s="135"/>
      <c r="I43" s="136"/>
      <c r="J43" s="137"/>
      <c r="K43" s="62"/>
    </row>
    <row r="44" spans="1:11" ht="14.1" customHeight="1">
      <c r="A44" s="143"/>
      <c r="B44" s="92" t="s">
        <v>156</v>
      </c>
      <c r="C44" s="92"/>
      <c r="D44" s="131"/>
      <c r="E44" s="132"/>
      <c r="F44" s="133"/>
      <c r="G44" s="134"/>
      <c r="H44" s="135"/>
      <c r="I44" s="136"/>
      <c r="J44" s="137"/>
      <c r="K44" s="62"/>
    </row>
    <row r="45" spans="1:11" ht="14.1" customHeight="1">
      <c r="A45" s="143"/>
      <c r="B45" s="92" t="s">
        <v>157</v>
      </c>
      <c r="C45" s="92"/>
      <c r="D45" s="139">
        <f>Mes!J128</f>
        <v>1800</v>
      </c>
      <c r="E45" s="132" t="s">
        <v>8</v>
      </c>
      <c r="F45" s="133">
        <v>3275</v>
      </c>
      <c r="G45" s="134" t="s">
        <v>7</v>
      </c>
      <c r="H45" s="132">
        <v>50</v>
      </c>
      <c r="I45" s="136" t="s">
        <v>66</v>
      </c>
      <c r="J45" s="137">
        <f>IF(MID(I45,1,2)=("P."),(ROUND(D45*((F45)+(H45/100)),)),IF(MID(I45,1,2)=("%o"),(ROUND(D45*(((F45)+(H45/100))/1000),)),IF(MID(I45,1,2)=("Ea"),(ROUND(D45*((F45)+(H45/100)),)),ROUND(D45*(((F45)+(H45/100))/100),))))</f>
        <v>58959</v>
      </c>
      <c r="K45" s="62"/>
    </row>
    <row r="46" spans="1:11" ht="14.1" customHeight="1">
      <c r="A46" s="52"/>
      <c r="B46" s="53"/>
      <c r="C46" s="53"/>
      <c r="D46" s="253" t="s">
        <v>443</v>
      </c>
      <c r="E46" s="253"/>
      <c r="F46" s="253"/>
      <c r="G46" s="253"/>
      <c r="H46" s="253"/>
      <c r="I46" s="253"/>
      <c r="J46" s="253"/>
      <c r="K46" s="253"/>
    </row>
    <row r="47" spans="1:11" ht="14.1" customHeight="1">
      <c r="A47" s="173">
        <v>7</v>
      </c>
      <c r="B47" s="174" t="s">
        <v>414</v>
      </c>
      <c r="C47" s="174"/>
      <c r="D47" s="175"/>
      <c r="E47" s="176"/>
      <c r="F47" s="177"/>
      <c r="G47" s="178"/>
      <c r="H47" s="179"/>
      <c r="I47" s="180"/>
      <c r="J47" s="181"/>
      <c r="K47" s="179"/>
    </row>
    <row r="48" spans="1:11" ht="14.1" customHeight="1">
      <c r="A48" s="173"/>
      <c r="B48" s="174" t="s">
        <v>415</v>
      </c>
      <c r="C48" s="174"/>
      <c r="D48" s="175">
        <f>Mes!J134</f>
        <v>230</v>
      </c>
      <c r="E48" s="176" t="s">
        <v>8</v>
      </c>
      <c r="F48" s="177">
        <v>226</v>
      </c>
      <c r="G48" s="178" t="s">
        <v>7</v>
      </c>
      <c r="H48" s="200">
        <v>2</v>
      </c>
      <c r="I48" s="180" t="s">
        <v>4</v>
      </c>
      <c r="J48" s="181">
        <f>IF(MID(I48,1,2)=("P."),(ROUND(D48*((F48)+(H48/100)),)),IF(MID(I48,1,2)=("%o"),(ROUND(D48*(((F48)+(H48/100))/1000),)),IF(MID(I48,1,2)=("Ea"),(ROUND(D48*((F48)+(H48/100)),)),ROUND(D48*(((F48)+(H48/100))/100),))))</f>
        <v>51985</v>
      </c>
      <c r="K48" s="179" t="s">
        <v>9</v>
      </c>
    </row>
    <row r="49" spans="1:11" ht="14.1" customHeight="1">
      <c r="A49" s="52"/>
      <c r="B49" s="53"/>
      <c r="C49" s="53"/>
      <c r="D49" s="250" t="s">
        <v>444</v>
      </c>
      <c r="E49" s="250"/>
      <c r="F49" s="250"/>
      <c r="G49" s="250"/>
      <c r="H49" s="250"/>
      <c r="I49" s="250"/>
      <c r="J49" s="250"/>
      <c r="K49" s="250"/>
    </row>
    <row r="50" spans="1:11" ht="14.1" customHeight="1">
      <c r="A50" s="50">
        <v>8</v>
      </c>
      <c r="B50" s="68" t="s">
        <v>165</v>
      </c>
      <c r="C50" s="50"/>
      <c r="D50" s="50"/>
      <c r="E50" s="50"/>
      <c r="F50" s="50"/>
      <c r="G50" s="50"/>
      <c r="H50" s="51"/>
      <c r="I50" s="50"/>
      <c r="J50" s="50"/>
      <c r="K50" s="62"/>
    </row>
    <row r="51" spans="1:11" ht="14.1" customHeight="1">
      <c r="A51" s="50"/>
      <c r="B51" s="68" t="s">
        <v>163</v>
      </c>
      <c r="C51" s="50"/>
      <c r="D51" s="69">
        <f>Mes!J150</f>
        <v>1648</v>
      </c>
      <c r="E51" s="70" t="s">
        <v>8</v>
      </c>
      <c r="F51" s="71">
        <v>1079</v>
      </c>
      <c r="G51" s="72" t="s">
        <v>7</v>
      </c>
      <c r="H51" s="73">
        <v>65</v>
      </c>
      <c r="I51" s="74" t="s">
        <v>164</v>
      </c>
      <c r="J51" s="75">
        <f>IF(MID(I51,1,2)=("P."),(ROUND(D51*((F51)+(H51/100)),)),IF(MID(I51,1,2)=("%o"),(ROUND(D51*(((F51)+(H51/100))/1000),)),IF(MID(I51,1,2)=("Ea"),(ROUND(D51*((F51)+(H51/100)),)),ROUND(D51*(((F51)+(H51/100))/100),))))</f>
        <v>17793</v>
      </c>
      <c r="K51" s="76"/>
    </row>
    <row r="52" spans="1:11" ht="14.1" customHeight="1">
      <c r="A52" s="52"/>
      <c r="B52" s="53"/>
      <c r="C52" s="53"/>
      <c r="D52" s="254" t="s">
        <v>445</v>
      </c>
      <c r="E52" s="254"/>
      <c r="F52" s="254"/>
      <c r="G52" s="254"/>
      <c r="H52" s="254"/>
      <c r="I52" s="254"/>
      <c r="J52" s="254"/>
      <c r="K52" s="254"/>
    </row>
    <row r="53" spans="1:11" ht="14.1" customHeight="1">
      <c r="A53" s="108">
        <v>9</v>
      </c>
      <c r="B53" s="182" t="s">
        <v>416</v>
      </c>
      <c r="C53" s="83"/>
      <c r="D53" s="183"/>
      <c r="E53" s="126"/>
      <c r="F53" s="100"/>
      <c r="G53" s="83"/>
      <c r="H53" s="129"/>
      <c r="I53" s="93"/>
      <c r="J53" s="184"/>
      <c r="K53" s="185"/>
    </row>
    <row r="54" spans="1:11" ht="14.1" customHeight="1">
      <c r="A54" s="108"/>
      <c r="B54" s="182" t="s">
        <v>417</v>
      </c>
      <c r="C54" s="83"/>
      <c r="D54" s="183"/>
      <c r="E54" s="126"/>
      <c r="F54" s="100"/>
      <c r="G54" s="83"/>
      <c r="H54" s="129"/>
      <c r="I54" s="93"/>
      <c r="J54" s="184"/>
      <c r="K54" s="185"/>
    </row>
    <row r="55" spans="1:11" ht="14.1" customHeight="1">
      <c r="A55" s="108"/>
      <c r="B55" s="83" t="s">
        <v>418</v>
      </c>
      <c r="C55" s="83"/>
      <c r="D55" s="183"/>
      <c r="E55" s="126"/>
      <c r="F55" s="100"/>
      <c r="G55" s="83"/>
      <c r="H55" s="129"/>
      <c r="I55" s="151"/>
      <c r="J55" s="127"/>
      <c r="K55" s="122"/>
    </row>
    <row r="56" spans="1:11" ht="14.1" customHeight="1">
      <c r="A56" s="108"/>
      <c r="B56" s="83" t="s">
        <v>419</v>
      </c>
      <c r="C56" s="83"/>
      <c r="D56" s="94"/>
      <c r="E56" s="83"/>
      <c r="F56" s="83"/>
      <c r="G56" s="83"/>
      <c r="H56" s="83"/>
      <c r="I56" s="83"/>
      <c r="J56" s="83"/>
      <c r="K56" s="83"/>
    </row>
    <row r="57" spans="1:11" ht="14.1" customHeight="1">
      <c r="A57" s="108"/>
      <c r="B57" s="83" t="s">
        <v>420</v>
      </c>
      <c r="C57" s="83"/>
      <c r="D57" s="140"/>
      <c r="E57" s="122"/>
      <c r="F57" s="100"/>
      <c r="G57" s="130"/>
      <c r="H57" s="122"/>
      <c r="I57" s="151"/>
      <c r="J57" s="124"/>
      <c r="K57" s="125"/>
    </row>
    <row r="58" spans="1:11" ht="14.1" customHeight="1">
      <c r="A58" s="108"/>
      <c r="B58" s="83" t="s">
        <v>421</v>
      </c>
      <c r="C58" s="83"/>
      <c r="D58" s="77"/>
      <c r="E58" s="78"/>
      <c r="F58" s="57"/>
      <c r="G58" s="60"/>
      <c r="H58" s="78"/>
      <c r="I58" s="60"/>
      <c r="J58" s="57"/>
      <c r="K58" s="78"/>
    </row>
    <row r="59" spans="1:11" ht="14.1" customHeight="1">
      <c r="A59" s="108"/>
      <c r="B59" s="83" t="s">
        <v>422</v>
      </c>
      <c r="C59" s="83"/>
      <c r="D59" s="77"/>
      <c r="E59" s="78"/>
      <c r="F59" s="57"/>
      <c r="G59" s="60"/>
      <c r="H59" s="78"/>
      <c r="I59" s="60"/>
      <c r="J59" s="57"/>
      <c r="K59" s="78"/>
    </row>
    <row r="60" spans="1:11" ht="14.1" customHeight="1">
      <c r="A60" s="108"/>
      <c r="B60" s="83" t="s">
        <v>423</v>
      </c>
      <c r="C60" s="83"/>
      <c r="D60" s="175">
        <f>Mes!J153</f>
        <v>2453.5</v>
      </c>
      <c r="E60" s="126" t="s">
        <v>8</v>
      </c>
      <c r="F60" s="100">
        <v>3444</v>
      </c>
      <c r="G60" s="130" t="s">
        <v>7</v>
      </c>
      <c r="H60" s="186">
        <v>38</v>
      </c>
      <c r="I60" s="151" t="s">
        <v>175</v>
      </c>
      <c r="J60" s="187">
        <f>IF(MID(I60,1,2)=("P."),(ROUND(D60*((F60)+(H60/100)),)),IF(MID(I60,1,2)=("%o"),(ROUND(D60*(((F60)+(H60/100))/1000),)),IF(MID(I60,1,2)=("Ea"),(ROUND(D60*((F60)+(H60/100)),)),ROUND(D60*(((F60)+(H60/100))/100),))))</f>
        <v>84508</v>
      </c>
      <c r="K60" s="125" t="s">
        <v>9</v>
      </c>
    </row>
    <row r="61" spans="1:11" ht="14.1" customHeight="1">
      <c r="A61" s="52"/>
      <c r="B61" s="53"/>
      <c r="C61" s="53"/>
      <c r="D61" s="255" t="s">
        <v>446</v>
      </c>
      <c r="E61" s="255"/>
      <c r="F61" s="255"/>
      <c r="G61" s="255"/>
      <c r="H61" s="255"/>
      <c r="I61" s="255"/>
      <c r="J61" s="255"/>
      <c r="K61" s="255"/>
    </row>
    <row r="62" spans="1:11" ht="14.1" customHeight="1">
      <c r="A62" s="52">
        <v>10</v>
      </c>
      <c r="B62" s="53" t="s">
        <v>166</v>
      </c>
      <c r="C62" s="53"/>
      <c r="D62" s="77"/>
      <c r="E62" s="78"/>
      <c r="F62" s="57"/>
      <c r="G62" s="60"/>
      <c r="H62" s="78"/>
      <c r="I62" s="60"/>
      <c r="J62" s="57"/>
      <c r="K62" s="78"/>
    </row>
    <row r="63" spans="1:11" ht="14.1" customHeight="1">
      <c r="A63" s="52"/>
      <c r="B63" s="53" t="s">
        <v>167</v>
      </c>
      <c r="C63" s="53"/>
      <c r="D63" s="77"/>
      <c r="E63" s="78"/>
      <c r="F63" s="57"/>
      <c r="G63" s="60"/>
      <c r="H63" s="78"/>
      <c r="I63" s="60"/>
      <c r="J63" s="57"/>
      <c r="K63" s="62"/>
    </row>
    <row r="64" spans="1:11" ht="14.1" customHeight="1">
      <c r="A64" s="52"/>
      <c r="B64" s="53" t="s">
        <v>168</v>
      </c>
      <c r="C64" s="53"/>
      <c r="D64" s="77"/>
      <c r="E64" s="78"/>
      <c r="F64" s="57"/>
      <c r="G64" s="60"/>
      <c r="H64" s="78"/>
      <c r="I64" s="60"/>
      <c r="J64" s="57"/>
      <c r="K64" s="76"/>
    </row>
    <row r="65" spans="1:11" ht="14.1" customHeight="1">
      <c r="A65" s="52"/>
      <c r="B65" s="53" t="s">
        <v>169</v>
      </c>
      <c r="C65" s="53"/>
      <c r="D65" s="77"/>
      <c r="E65" s="78"/>
      <c r="F65" s="57"/>
      <c r="G65" s="60"/>
      <c r="H65" s="78"/>
      <c r="I65" s="60"/>
      <c r="J65" s="57"/>
      <c r="K65" s="161"/>
    </row>
    <row r="66" spans="1:11" ht="14.1" customHeight="1">
      <c r="A66" s="52"/>
      <c r="B66" s="53" t="s">
        <v>170</v>
      </c>
      <c r="C66" s="53"/>
      <c r="D66" s="77"/>
      <c r="E66" s="78"/>
      <c r="F66" s="57"/>
      <c r="G66" s="60"/>
      <c r="H66" s="78"/>
      <c r="I66" s="60"/>
      <c r="J66" s="57"/>
      <c r="K66" s="161"/>
    </row>
    <row r="67" spans="1:11" ht="14.1" customHeight="1">
      <c r="A67" s="52"/>
      <c r="B67" s="53" t="s">
        <v>171</v>
      </c>
      <c r="C67" s="53"/>
      <c r="D67" s="55">
        <f>Mes!J159</f>
        <v>3359</v>
      </c>
      <c r="E67" s="56" t="s">
        <v>8</v>
      </c>
      <c r="F67" s="57">
        <v>2567</v>
      </c>
      <c r="G67" s="58" t="s">
        <v>7</v>
      </c>
      <c r="H67" s="59">
        <v>95</v>
      </c>
      <c r="I67" s="60" t="s">
        <v>66</v>
      </c>
      <c r="J67" s="61">
        <f>IF(MID(I67,1,2)=("P."),(ROUND(D67*((F67)+(H67/100)),)),IF(MID(I67,1,2)=("%o"),(ROUND(D67*(((F67)+(H67/100))/1000),)),IF(MID(I67,1,2)=("Ea"),(ROUND(D67*((F67)+(H67/100)),)),ROUND(D67*(((F67)+(H67/100))/100),))))</f>
        <v>86257</v>
      </c>
      <c r="K67" s="162" t="s">
        <v>9</v>
      </c>
    </row>
    <row r="68" spans="1:11" ht="14.1" customHeight="1">
      <c r="A68" s="52"/>
      <c r="B68" s="63"/>
      <c r="C68" s="64"/>
      <c r="D68" s="248" t="s">
        <v>447</v>
      </c>
      <c r="E68" s="248"/>
      <c r="F68" s="248"/>
      <c r="G68" s="248"/>
      <c r="H68" s="248"/>
      <c r="I68" s="248"/>
      <c r="J68" s="248"/>
      <c r="K68" s="248"/>
    </row>
    <row r="69" spans="1:11" ht="14.1" customHeight="1">
      <c r="A69" s="143">
        <v>11</v>
      </c>
      <c r="B69" s="174" t="s">
        <v>408</v>
      </c>
      <c r="C69" s="174"/>
      <c r="D69" s="175"/>
      <c r="E69" s="176"/>
      <c r="F69" s="177"/>
      <c r="G69" s="178"/>
      <c r="H69" s="188"/>
      <c r="I69" s="180"/>
      <c r="J69" s="181"/>
      <c r="K69" s="179"/>
    </row>
    <row r="70" spans="1:11" ht="14.1" customHeight="1">
      <c r="A70" s="143"/>
      <c r="B70" s="174" t="s">
        <v>409</v>
      </c>
      <c r="C70" s="174"/>
      <c r="D70" s="175"/>
      <c r="E70" s="176"/>
      <c r="F70" s="177"/>
      <c r="G70" s="178"/>
      <c r="H70" s="188"/>
      <c r="I70" s="180"/>
      <c r="J70" s="181"/>
      <c r="K70" s="179"/>
    </row>
    <row r="71" spans="1:11" ht="14.1" customHeight="1">
      <c r="A71" s="143"/>
      <c r="B71" s="174" t="s">
        <v>410</v>
      </c>
      <c r="C71" s="174"/>
      <c r="D71" s="140">
        <f>Mes!J164</f>
        <v>1046</v>
      </c>
      <c r="E71" s="122" t="s">
        <v>8</v>
      </c>
      <c r="F71" s="100">
        <v>1887</v>
      </c>
      <c r="G71" s="130" t="s">
        <v>7</v>
      </c>
      <c r="H71" s="122">
        <v>40</v>
      </c>
      <c r="I71" s="151" t="s">
        <v>66</v>
      </c>
      <c r="J71" s="124">
        <f>IF(MID(I71,1,2)=("P."),(ROUND(D71*((F71)+(H71/100)),)),IF(MID(I71,1,2)=("%o"),(ROUND(D71*(((F71)+(H71/100))/1000),)),IF(MID(I71,1,2)=("Ea"),(ROUND(D71*((F71)+(H71/100)),)),ROUND(D71*(((F71)+(H71/100))/100),))))</f>
        <v>19742</v>
      </c>
      <c r="K71" s="125" t="s">
        <v>9</v>
      </c>
    </row>
    <row r="72" spans="1:11" ht="14.1" customHeight="1">
      <c r="A72" s="52"/>
      <c r="B72" s="63"/>
      <c r="C72" s="64"/>
      <c r="D72" s="249" t="s">
        <v>448</v>
      </c>
      <c r="E72" s="249"/>
      <c r="F72" s="249"/>
      <c r="G72" s="249"/>
      <c r="H72" s="249"/>
      <c r="I72" s="249"/>
      <c r="J72" s="249"/>
      <c r="K72" s="249"/>
    </row>
    <row r="73" spans="1:11" ht="14.1" customHeight="1">
      <c r="A73" s="108">
        <v>12</v>
      </c>
      <c r="B73" s="97" t="s">
        <v>424</v>
      </c>
      <c r="C73" s="97"/>
      <c r="D73" s="128">
        <f>Mes!J168</f>
        <v>3906</v>
      </c>
      <c r="E73" s="126" t="s">
        <v>74</v>
      </c>
      <c r="F73" s="100">
        <v>24</v>
      </c>
      <c r="G73" s="123" t="s">
        <v>7</v>
      </c>
      <c r="H73" s="129">
        <v>20</v>
      </c>
      <c r="I73" s="151" t="s">
        <v>425</v>
      </c>
      <c r="J73" s="124">
        <f>IF(MID(I73,1,2)=("P."),(ROUND(D73*((F73)+(H73/100)),)),IF(MID(I73,1,2)=("%o"),(ROUND(D73*(((F73)+(H73/100))/1000),)),IF(MID(I73,1,2)=("Ea"),(ROUND(D73*((F73)+(H73/100)),)),ROUND(D73*(((F73)+(H73/100))/100),))))</f>
        <v>94525</v>
      </c>
      <c r="K73" s="125" t="s">
        <v>9</v>
      </c>
    </row>
    <row r="74" spans="1:11" ht="14.1" customHeight="1">
      <c r="A74" s="52"/>
      <c r="B74" s="53"/>
      <c r="C74" s="53"/>
      <c r="D74" s="250" t="s">
        <v>449</v>
      </c>
      <c r="E74" s="250"/>
      <c r="F74" s="250"/>
      <c r="G74" s="250"/>
      <c r="H74" s="250"/>
      <c r="I74" s="250"/>
      <c r="J74" s="250"/>
      <c r="K74" s="250"/>
    </row>
    <row r="75" spans="1:11" ht="14.1" customHeight="1">
      <c r="A75" s="52">
        <v>13</v>
      </c>
      <c r="B75" s="53" t="s">
        <v>426</v>
      </c>
      <c r="C75" s="53"/>
      <c r="D75" s="77"/>
      <c r="E75" s="78"/>
      <c r="F75" s="57"/>
      <c r="G75" s="60"/>
      <c r="H75" s="78"/>
      <c r="I75" s="60"/>
      <c r="J75" s="57"/>
      <c r="K75" s="78"/>
    </row>
    <row r="76" spans="1:11" ht="14.1" customHeight="1">
      <c r="A76" s="52"/>
      <c r="B76" s="53" t="s">
        <v>427</v>
      </c>
      <c r="C76" s="53"/>
      <c r="D76" s="55">
        <f>Mes!J172</f>
        <v>209.25</v>
      </c>
      <c r="E76" s="56" t="s">
        <v>131</v>
      </c>
      <c r="F76" s="57">
        <v>302</v>
      </c>
      <c r="G76" s="58" t="s">
        <v>7</v>
      </c>
      <c r="H76" s="59">
        <v>50</v>
      </c>
      <c r="I76" s="60" t="s">
        <v>153</v>
      </c>
      <c r="J76" s="61">
        <f>IF(MID(I76,1,2)=("P."),(ROUND(D76*((F76)+(H76/100)),)),IF(MID(I76,1,2)=("%o"),(ROUND(D76*(((F76)+(H76/100))/1000),)),IF(MID(I76,1,2)=("Ea"),(ROUND(D76*((F76)+(H76/100)),)),ROUND(D76*(((F76)+(H76/100))/100),))))</f>
        <v>63298</v>
      </c>
      <c r="K76" s="62" t="s">
        <v>9</v>
      </c>
    </row>
    <row r="77" spans="1:11" ht="14.1" customHeight="1">
      <c r="A77" s="108"/>
      <c r="B77" s="83"/>
      <c r="C77" s="83"/>
      <c r="D77" s="251" t="s">
        <v>450</v>
      </c>
      <c r="E77" s="251"/>
      <c r="F77" s="251"/>
      <c r="G77" s="251"/>
      <c r="H77" s="251"/>
      <c r="I77" s="251"/>
      <c r="J77" s="251"/>
      <c r="K77" s="251"/>
    </row>
    <row r="78" spans="1:11" ht="14.1" customHeight="1">
      <c r="A78" s="52">
        <v>14</v>
      </c>
      <c r="B78" s="153" t="s">
        <v>428</v>
      </c>
      <c r="C78" s="153"/>
      <c r="D78" s="55"/>
      <c r="E78" s="66"/>
      <c r="F78" s="57"/>
      <c r="G78" s="58"/>
      <c r="H78" s="59"/>
      <c r="I78" s="60"/>
      <c r="J78" s="61"/>
      <c r="K78" s="67"/>
    </row>
    <row r="79" spans="1:11" ht="14.1" customHeight="1">
      <c r="A79" s="52"/>
      <c r="B79" s="153" t="s">
        <v>429</v>
      </c>
      <c r="C79" s="153"/>
      <c r="D79" s="55">
        <f>Mes!J175</f>
        <v>958</v>
      </c>
      <c r="E79" s="66" t="s">
        <v>8</v>
      </c>
      <c r="F79" s="57">
        <v>1191</v>
      </c>
      <c r="G79" s="58" t="s">
        <v>7</v>
      </c>
      <c r="H79" s="59">
        <v>9</v>
      </c>
      <c r="I79" s="60" t="s">
        <v>164</v>
      </c>
      <c r="J79" s="61">
        <f>IF(MID(I79,1,2)=("P."),(ROUND(D79*((F79)+(H79/100)),)),IF(MID(I79,1,2)=("%o"),(ROUND(D79*(((F79)+(H79/100))/1000),)),IF(MID(I79,1,2)=("Ea"),(ROUND(D79*((F79)+(H79/100)),)),ROUND(D79*(((F79)+(H79/100))/100),))))</f>
        <v>11411</v>
      </c>
      <c r="K79" s="67" t="s">
        <v>9</v>
      </c>
    </row>
    <row r="80" spans="1:11" ht="14.1" customHeight="1">
      <c r="A80" s="190"/>
      <c r="B80" s="191"/>
      <c r="C80" s="192"/>
      <c r="D80" s="248" t="s">
        <v>451</v>
      </c>
      <c r="E80" s="248"/>
      <c r="F80" s="248"/>
      <c r="G80" s="248"/>
      <c r="H80" s="248"/>
      <c r="I80" s="248"/>
      <c r="J80" s="248"/>
      <c r="K80" s="248"/>
    </row>
    <row r="81" spans="1:11" ht="14.1" customHeight="1">
      <c r="A81" s="190">
        <v>15</v>
      </c>
      <c r="B81" s="153" t="s">
        <v>430</v>
      </c>
      <c r="C81" s="153"/>
      <c r="D81" s="55"/>
      <c r="E81" s="66"/>
      <c r="F81" s="57"/>
      <c r="G81" s="58"/>
      <c r="H81" s="59"/>
      <c r="I81" s="60"/>
      <c r="J81" s="61"/>
      <c r="K81" s="67"/>
    </row>
    <row r="82" spans="1:11" ht="14.1" customHeight="1">
      <c r="A82" s="190"/>
      <c r="B82" s="153" t="s">
        <v>436</v>
      </c>
      <c r="C82" s="153"/>
      <c r="D82" s="55">
        <f>Mes!J178</f>
        <v>5123.5</v>
      </c>
      <c r="E82" s="66" t="s">
        <v>8</v>
      </c>
      <c r="F82" s="57">
        <v>422</v>
      </c>
      <c r="G82" s="58" t="s">
        <v>7</v>
      </c>
      <c r="H82" s="59">
        <v>91</v>
      </c>
      <c r="I82" s="60" t="s">
        <v>164</v>
      </c>
      <c r="J82" s="61">
        <f>IF(MID(I82,1,2)=("P."),(ROUND(D82*((F82)+(H82/100)),)),IF(MID(I82,1,2)=("%o"),(ROUND(D82*(((F82)+(H82/100))/1000),)),IF(MID(I82,1,2)=("Ea"),(ROUND(D82*((F82)+(H82/100)),)),ROUND(D82*(((F82)+(H82/100))/100),))))</f>
        <v>21668</v>
      </c>
      <c r="K82" s="67" t="s">
        <v>9</v>
      </c>
    </row>
    <row r="83" spans="1:11" ht="14.1" customHeight="1">
      <c r="A83" s="194"/>
      <c r="B83" s="193"/>
      <c r="C83" s="193"/>
      <c r="D83" s="245" t="s">
        <v>452</v>
      </c>
      <c r="E83" s="245"/>
      <c r="F83" s="245"/>
      <c r="G83" s="245"/>
      <c r="H83" s="245"/>
      <c r="I83" s="245"/>
      <c r="J83" s="245"/>
      <c r="K83" s="245"/>
    </row>
    <row r="84" spans="1:11" ht="14.1" customHeight="1">
      <c r="A84" s="52">
        <v>16</v>
      </c>
      <c r="B84" s="53" t="s">
        <v>431</v>
      </c>
      <c r="C84" s="53"/>
      <c r="D84" s="55"/>
      <c r="E84" s="56"/>
      <c r="F84" s="57"/>
      <c r="G84" s="58"/>
      <c r="H84" s="59"/>
      <c r="I84" s="60"/>
      <c r="J84" s="61"/>
      <c r="K84" s="62"/>
    </row>
    <row r="85" spans="1:11" ht="14.1" customHeight="1">
      <c r="A85" s="52"/>
      <c r="B85" s="53" t="s">
        <v>432</v>
      </c>
      <c r="C85" s="53"/>
      <c r="D85" s="77"/>
      <c r="E85" s="78"/>
      <c r="F85" s="57"/>
      <c r="G85" s="60"/>
      <c r="H85" s="78"/>
      <c r="I85" s="60"/>
      <c r="J85" s="57"/>
      <c r="K85" s="78"/>
    </row>
    <row r="86" spans="1:11" ht="14.1" customHeight="1">
      <c r="A86" s="52"/>
      <c r="B86" s="53" t="s">
        <v>433</v>
      </c>
      <c r="C86" s="54"/>
      <c r="D86" s="55"/>
      <c r="E86" s="56"/>
      <c r="F86" s="57"/>
      <c r="G86" s="58"/>
      <c r="H86" s="59"/>
      <c r="I86" s="60"/>
      <c r="J86" s="61"/>
      <c r="K86" s="62"/>
    </row>
    <row r="87" spans="1:11" ht="14.1" customHeight="1">
      <c r="A87" s="52"/>
      <c r="B87" s="53" t="s">
        <v>434</v>
      </c>
      <c r="C87" s="54"/>
      <c r="D87" s="69">
        <f>Mes!J181</f>
        <v>68</v>
      </c>
      <c r="E87" s="70" t="s">
        <v>8</v>
      </c>
      <c r="F87" s="71">
        <v>726</v>
      </c>
      <c r="G87" s="72" t="s">
        <v>7</v>
      </c>
      <c r="H87" s="73">
        <v>72</v>
      </c>
      <c r="I87" s="74" t="s">
        <v>4</v>
      </c>
      <c r="J87" s="75">
        <f>IF(MID(I87,1,2)=("P."),(ROUND(D87*((F87)+(H87/100)),)),IF(MID(I87,1,2)=("%o"),(ROUND(D87*(((F87)+(H87/100))/1000),)),IF(MID(I87,1,2)=("Ea"),(ROUND(D87*((F87)+(H87/100)),)),ROUND(D87*(((F87)+(H87/100))/100),))))</f>
        <v>49417</v>
      </c>
      <c r="K87" s="76" t="s">
        <v>9</v>
      </c>
    </row>
    <row r="88" spans="1:11" ht="14.1" customHeight="1">
      <c r="A88" s="194"/>
      <c r="B88" s="193"/>
      <c r="C88" s="193"/>
      <c r="D88" s="246" t="s">
        <v>453</v>
      </c>
      <c r="E88" s="246"/>
      <c r="F88" s="246"/>
      <c r="G88" s="246"/>
      <c r="H88" s="246"/>
      <c r="I88" s="246"/>
      <c r="J88" s="246"/>
      <c r="K88" s="246"/>
    </row>
    <row r="89" spans="1:11" ht="14.1" customHeight="1">
      <c r="A89" s="108">
        <v>17</v>
      </c>
      <c r="B89" s="83" t="s">
        <v>172</v>
      </c>
      <c r="C89" s="83"/>
      <c r="D89" s="93"/>
      <c r="E89" s="120"/>
      <c r="F89" s="120"/>
      <c r="G89" s="100"/>
      <c r="H89" s="83"/>
      <c r="I89" s="83"/>
      <c r="J89" s="83"/>
      <c r="K89" s="67"/>
    </row>
    <row r="90" spans="1:11" ht="14.1" customHeight="1">
      <c r="A90" s="108"/>
      <c r="B90" s="83" t="s">
        <v>173</v>
      </c>
      <c r="C90" s="83"/>
      <c r="D90" s="93"/>
      <c r="E90" s="120"/>
      <c r="F90" s="120"/>
      <c r="G90" s="100"/>
      <c r="H90" s="83"/>
      <c r="I90" s="83"/>
      <c r="J90" s="83"/>
      <c r="K90" s="67"/>
    </row>
    <row r="91" spans="1:11" ht="14.1" customHeight="1" thickBot="1">
      <c r="A91" s="108"/>
      <c r="B91" s="83" t="s">
        <v>174</v>
      </c>
      <c r="C91" s="83"/>
      <c r="D91" s="140">
        <f>Mes!J184</f>
        <v>136</v>
      </c>
      <c r="E91" s="122" t="s">
        <v>8</v>
      </c>
      <c r="F91" s="100">
        <v>2116</v>
      </c>
      <c r="G91" s="130" t="s">
        <v>7</v>
      </c>
      <c r="H91" s="122">
        <v>41</v>
      </c>
      <c r="I91" s="120" t="s">
        <v>175</v>
      </c>
      <c r="J91" s="124">
        <f>IF(MID(I91,1,2)=("P."),(ROUND(D91*((F91)+(H91/100)),)),IF(MID(I91,1,2)=("%o"),(ROUND(D91*(((F91)+(H91/100))/1000),)),IF(MID(I91,1,2)=("Ea"),(ROUND(D91*((F91)+(H91/100)),)),ROUND(D91*(((F91)+(H91/100))/100),))))</f>
        <v>2878</v>
      </c>
      <c r="K91" s="189" t="s">
        <v>9</v>
      </c>
    </row>
    <row r="92" spans="1:11" ht="14.1" customHeight="1">
      <c r="A92" s="108"/>
      <c r="B92" s="83"/>
      <c r="C92" s="83"/>
      <c r="D92" s="246" t="s">
        <v>454</v>
      </c>
      <c r="E92" s="246"/>
      <c r="F92" s="246"/>
      <c r="G92" s="246"/>
      <c r="H92" s="246"/>
      <c r="I92" s="246"/>
      <c r="J92" s="246"/>
      <c r="K92" s="247"/>
    </row>
    <row r="93" spans="1:11" ht="14.1" customHeight="1" thickBot="1">
      <c r="A93" s="50"/>
      <c r="B93" s="53"/>
      <c r="C93" s="53"/>
      <c r="D93" s="55"/>
      <c r="E93" s="79"/>
      <c r="F93" s="79"/>
      <c r="G93" s="79"/>
      <c r="H93" s="73"/>
      <c r="I93" s="80" t="s">
        <v>50</v>
      </c>
      <c r="J93" s="85">
        <f>SUM(J20:J91)</f>
        <v>3236803</v>
      </c>
      <c r="K93" s="189" t="s">
        <v>9</v>
      </c>
    </row>
    <row r="94" spans="1:11" ht="14.1" customHeight="1" thickBot="1">
      <c r="A94" s="50"/>
      <c r="B94" s="68"/>
      <c r="C94" s="79"/>
      <c r="D94" s="79"/>
      <c r="E94" s="66" t="s">
        <v>455</v>
      </c>
      <c r="F94" s="57"/>
      <c r="G94" s="58"/>
      <c r="H94" s="59"/>
      <c r="I94" s="57"/>
      <c r="J94" s="61"/>
      <c r="K94" s="189"/>
    </row>
    <row r="95" spans="1:11" ht="14.1" customHeight="1" thickBot="1">
      <c r="A95" s="50"/>
      <c r="B95" s="68"/>
      <c r="C95" s="79"/>
      <c r="D95" s="79"/>
      <c r="E95" s="66"/>
      <c r="F95" s="57"/>
      <c r="G95" s="58"/>
      <c r="H95" s="59"/>
      <c r="I95" s="81" t="s">
        <v>19</v>
      </c>
      <c r="J95" s="82"/>
      <c r="K95" s="189"/>
    </row>
    <row r="96" spans="1:11" ht="14.1" customHeight="1" thickBot="1">
      <c r="A96" s="50"/>
      <c r="B96" s="68"/>
      <c r="C96" s="79"/>
      <c r="D96" s="79"/>
      <c r="E96" s="66"/>
      <c r="F96" s="57"/>
      <c r="G96" s="58"/>
      <c r="H96" s="59"/>
      <c r="I96" s="81"/>
      <c r="J96" s="84"/>
      <c r="K96" s="122"/>
    </row>
    <row r="97" spans="1:11" ht="14.1" customHeight="1" thickBot="1">
      <c r="A97" s="201"/>
      <c r="B97" s="202"/>
      <c r="C97" s="203" t="s">
        <v>456</v>
      </c>
      <c r="D97" s="204"/>
      <c r="E97" s="205"/>
      <c r="F97" s="206"/>
      <c r="G97" s="207"/>
      <c r="H97" s="208"/>
      <c r="I97" s="209"/>
      <c r="J97" s="210"/>
      <c r="K97" s="211"/>
    </row>
    <row r="98" spans="1:11" ht="14.1" customHeight="1">
      <c r="A98" s="201"/>
      <c r="B98" s="212" t="s">
        <v>457</v>
      </c>
      <c r="C98" s="213" t="s">
        <v>458</v>
      </c>
      <c r="D98" s="213"/>
      <c r="E98" s="214"/>
      <c r="F98" s="206"/>
      <c r="G98" s="207"/>
      <c r="H98" s="215" t="s">
        <v>459</v>
      </c>
      <c r="I98" s="209"/>
      <c r="J98" s="210"/>
      <c r="K98" s="211"/>
    </row>
    <row r="99" spans="1:11" ht="14.1" customHeight="1">
      <c r="A99" s="201"/>
      <c r="B99" s="202"/>
      <c r="C99" s="202"/>
      <c r="D99" s="217" t="s">
        <v>460</v>
      </c>
      <c r="E99" s="205"/>
      <c r="F99" s="218"/>
      <c r="G99" s="207"/>
      <c r="H99" s="215" t="s">
        <v>459</v>
      </c>
      <c r="I99" s="209"/>
      <c r="J99" s="210"/>
      <c r="K99" s="211"/>
    </row>
    <row r="100" spans="1:11" ht="14.1" customHeight="1">
      <c r="A100" s="201"/>
      <c r="B100" s="202"/>
      <c r="C100" s="202"/>
      <c r="D100" s="217"/>
      <c r="E100" s="2"/>
      <c r="F100" s="218"/>
      <c r="G100" s="207"/>
      <c r="H100" s="215"/>
      <c r="I100" s="209"/>
      <c r="J100" s="210"/>
      <c r="K100" s="211"/>
    </row>
    <row r="101" spans="1:11" ht="14.1" customHeight="1">
      <c r="A101" s="201"/>
      <c r="B101" s="212" t="s">
        <v>461</v>
      </c>
      <c r="C101" s="202"/>
      <c r="D101" s="216"/>
      <c r="E101" s="205"/>
      <c r="F101" s="206"/>
      <c r="G101" s="207"/>
      <c r="H101" s="208"/>
      <c r="I101" s="209"/>
      <c r="J101" s="210"/>
      <c r="K101" s="211"/>
    </row>
    <row r="102" spans="1:11" ht="14.1" customHeight="1">
      <c r="A102" s="201">
        <v>1</v>
      </c>
      <c r="B102" s="219" t="s">
        <v>462</v>
      </c>
      <c r="C102" s="202"/>
      <c r="D102" s="216"/>
      <c r="E102" s="205"/>
      <c r="F102" s="206"/>
      <c r="G102" s="207"/>
      <c r="H102" s="208"/>
      <c r="I102" s="209"/>
      <c r="J102" s="210"/>
      <c r="K102" s="211"/>
    </row>
    <row r="103" spans="1:11" ht="14.1" customHeight="1">
      <c r="A103" s="201"/>
      <c r="B103" s="219" t="s">
        <v>463</v>
      </c>
      <c r="C103" s="202"/>
      <c r="D103" s="216"/>
      <c r="E103" s="205"/>
      <c r="F103" s="206"/>
      <c r="G103" s="207"/>
      <c r="H103" s="208"/>
      <c r="I103" s="209"/>
      <c r="J103" s="210"/>
      <c r="K103" s="211"/>
    </row>
    <row r="104" spans="1:11" ht="14.1" customHeight="1">
      <c r="A104" s="201">
        <v>2</v>
      </c>
      <c r="B104" s="219" t="s">
        <v>464</v>
      </c>
      <c r="C104" s="202"/>
      <c r="D104" s="216"/>
      <c r="E104" s="205"/>
      <c r="F104" s="206"/>
      <c r="G104" s="207"/>
      <c r="H104" s="208"/>
      <c r="I104" s="209"/>
      <c r="J104" s="210"/>
      <c r="K104" s="211"/>
    </row>
    <row r="105" spans="1:11" ht="14.1" customHeight="1">
      <c r="A105" s="201">
        <v>3</v>
      </c>
      <c r="B105" s="219" t="s">
        <v>465</v>
      </c>
      <c r="C105" s="202"/>
      <c r="D105" s="216"/>
      <c r="E105" s="205"/>
      <c r="F105" s="206"/>
      <c r="G105" s="207"/>
      <c r="H105" s="208"/>
      <c r="I105" s="209"/>
      <c r="J105" s="210"/>
      <c r="K105" s="211"/>
    </row>
    <row r="106" spans="1:11" ht="14.1" customHeight="1">
      <c r="A106" s="201">
        <v>4</v>
      </c>
      <c r="B106" s="219" t="s">
        <v>466</v>
      </c>
      <c r="C106" s="202"/>
      <c r="D106" s="216"/>
      <c r="E106" s="205"/>
      <c r="F106" s="206"/>
      <c r="G106" s="207"/>
      <c r="H106" s="208"/>
      <c r="I106" s="209"/>
      <c r="J106" s="210"/>
      <c r="K106" s="211"/>
    </row>
    <row r="107" spans="1:11" ht="14.1" customHeight="1">
      <c r="A107" s="201">
        <v>5</v>
      </c>
      <c r="B107" s="219" t="s">
        <v>467</v>
      </c>
      <c r="C107" s="202"/>
      <c r="D107" s="216"/>
      <c r="E107" s="205"/>
      <c r="F107" s="206"/>
      <c r="G107" s="207"/>
      <c r="H107" s="208"/>
      <c r="I107" s="209"/>
      <c r="J107" s="210"/>
      <c r="K107" s="211"/>
    </row>
    <row r="108" spans="1:11" ht="14.1" customHeight="1">
      <c r="A108" s="201">
        <v>6</v>
      </c>
      <c r="B108" s="219" t="s">
        <v>468</v>
      </c>
      <c r="C108" s="202"/>
      <c r="D108" s="216"/>
      <c r="E108" s="205"/>
      <c r="F108" s="206"/>
      <c r="G108" s="207"/>
      <c r="H108" s="208"/>
      <c r="I108" s="209"/>
      <c r="J108" s="210"/>
      <c r="K108" s="211"/>
    </row>
    <row r="109" spans="1:11" ht="14.1" customHeight="1">
      <c r="A109" s="201">
        <v>7</v>
      </c>
      <c r="B109" s="219" t="s">
        <v>469</v>
      </c>
      <c r="C109" s="202"/>
      <c r="D109" s="216"/>
      <c r="E109" s="205"/>
      <c r="F109" s="206"/>
      <c r="G109" s="207"/>
      <c r="H109" s="208"/>
      <c r="I109" s="209"/>
      <c r="J109" s="210"/>
      <c r="K109" s="211"/>
    </row>
    <row r="110" spans="1:11" ht="14.1" customHeight="1">
      <c r="A110" s="201">
        <v>8</v>
      </c>
      <c r="B110" s="219" t="s">
        <v>470</v>
      </c>
      <c r="C110" s="202"/>
      <c r="D110" s="216"/>
      <c r="E110" s="205"/>
      <c r="F110" s="206"/>
      <c r="G110" s="207"/>
      <c r="H110" s="208"/>
      <c r="I110" s="209"/>
      <c r="J110" s="210"/>
      <c r="K110" s="211"/>
    </row>
    <row r="111" spans="1:11" ht="15" customHeight="1">
      <c r="A111" s="201">
        <v>9</v>
      </c>
      <c r="B111" s="219" t="s">
        <v>471</v>
      </c>
      <c r="C111" s="202"/>
      <c r="D111" s="216"/>
      <c r="E111" s="205"/>
      <c r="F111" s="206"/>
      <c r="G111" s="207"/>
      <c r="H111" s="208"/>
      <c r="I111" s="209"/>
      <c r="J111" s="210"/>
      <c r="K111" s="211"/>
    </row>
    <row r="112" spans="1:11" ht="15" customHeight="1">
      <c r="A112" s="201">
        <v>10</v>
      </c>
      <c r="B112" s="219" t="s">
        <v>472</v>
      </c>
      <c r="C112" s="202"/>
      <c r="D112" s="216"/>
      <c r="E112" s="205"/>
      <c r="F112" s="206"/>
      <c r="G112" s="207"/>
      <c r="H112" s="208"/>
      <c r="I112" s="209"/>
      <c r="J112" s="210"/>
      <c r="K112" s="211"/>
    </row>
    <row r="113" spans="1:11" ht="14.1" customHeight="1">
      <c r="A113" s="201">
        <v>11</v>
      </c>
      <c r="B113" s="219" t="s">
        <v>473</v>
      </c>
      <c r="C113" s="202"/>
      <c r="D113" s="216"/>
      <c r="E113" s="205"/>
      <c r="F113" s="206"/>
      <c r="G113" s="207"/>
      <c r="H113" s="208"/>
      <c r="I113" s="209"/>
      <c r="J113" s="210"/>
      <c r="K113" s="211"/>
    </row>
    <row r="114" spans="1:11" ht="14.1" customHeight="1">
      <c r="A114" s="201"/>
      <c r="B114" s="219"/>
      <c r="C114" s="202"/>
      <c r="D114" s="216"/>
      <c r="E114" s="205"/>
      <c r="F114" s="206"/>
      <c r="G114" s="207"/>
      <c r="H114" s="208"/>
      <c r="I114" s="209"/>
      <c r="J114" s="210"/>
      <c r="K114" s="211"/>
    </row>
    <row r="115" spans="1:11" ht="14.1" customHeight="1">
      <c r="A115" s="201"/>
      <c r="B115" s="212" t="s">
        <v>474</v>
      </c>
      <c r="C115" s="202"/>
      <c r="D115" s="216"/>
      <c r="E115" s="205"/>
      <c r="F115" s="206"/>
      <c r="G115" s="207"/>
      <c r="H115" s="208"/>
      <c r="I115" s="209"/>
      <c r="J115" s="210"/>
      <c r="K115" s="211"/>
    </row>
    <row r="116" spans="1:11" ht="14.1" customHeight="1">
      <c r="A116" s="201"/>
      <c r="B116" s="220"/>
      <c r="C116" s="5"/>
      <c r="D116" s="216"/>
      <c r="E116" s="205"/>
      <c r="F116" s="206"/>
      <c r="G116" s="207"/>
      <c r="H116" s="208"/>
      <c r="I116" s="209"/>
      <c r="J116" s="221"/>
      <c r="K116" s="211"/>
    </row>
    <row r="117" spans="1:11" ht="14.1" customHeight="1">
      <c r="A117" s="6"/>
      <c r="B117" s="222"/>
      <c r="C117" s="6"/>
      <c r="D117" s="223" t="s">
        <v>0</v>
      </c>
      <c r="E117" s="7"/>
      <c r="F117" s="6"/>
      <c r="G117" s="7"/>
      <c r="H117" s="222"/>
      <c r="I117" s="201" t="s">
        <v>67</v>
      </c>
      <c r="J117" s="224"/>
      <c r="K117" s="211"/>
    </row>
    <row r="118" spans="1:11" ht="14.1" customHeight="1">
      <c r="A118" s="7"/>
      <c r="B118" s="220"/>
      <c r="C118" s="7"/>
      <c r="D118" s="3" t="s">
        <v>475</v>
      </c>
      <c r="E118" s="7"/>
      <c r="F118" s="205" t="s">
        <v>476</v>
      </c>
      <c r="G118" s="225"/>
      <c r="H118" s="6"/>
      <c r="I118" s="226"/>
      <c r="J118" s="222"/>
      <c r="K118" s="211"/>
    </row>
    <row r="119" spans="1:11" ht="14.1" customHeight="1">
      <c r="A119" s="7"/>
      <c r="B119" s="220"/>
      <c r="C119" s="227" t="s">
        <v>1</v>
      </c>
      <c r="D119" s="228"/>
      <c r="E119" s="7"/>
      <c r="F119" s="6"/>
      <c r="G119" s="7"/>
      <c r="H119" s="229" t="s">
        <v>477</v>
      </c>
      <c r="I119" s="226"/>
      <c r="J119" s="7"/>
      <c r="K119" s="211"/>
    </row>
    <row r="120" spans="1:11" ht="14.1" customHeight="1">
      <c r="A120" s="38"/>
      <c r="H120" s="38"/>
    </row>
    <row r="121" spans="1:11" ht="14.1" customHeight="1">
      <c r="A121" s="38"/>
      <c r="H121" s="38"/>
    </row>
    <row r="122" spans="1:11" ht="14.1" customHeight="1">
      <c r="A122" s="38"/>
      <c r="H122" s="38"/>
    </row>
    <row r="123" spans="1:11" ht="14.1" customHeight="1">
      <c r="A123" s="38"/>
      <c r="H123" s="38"/>
    </row>
    <row r="124" spans="1:11" ht="14.1" customHeight="1">
      <c r="A124" s="38"/>
      <c r="H124" s="38"/>
    </row>
    <row r="125" spans="1:11" ht="14.1" customHeight="1">
      <c r="A125" s="38"/>
      <c r="H125" s="38"/>
    </row>
    <row r="126" spans="1:11" ht="14.1" customHeight="1">
      <c r="A126" s="38"/>
      <c r="H126" s="38"/>
    </row>
    <row r="127" spans="1:11" ht="14.1" customHeight="1">
      <c r="A127" s="38"/>
      <c r="H127" s="38"/>
    </row>
    <row r="128" spans="1:11" ht="14.1" customHeight="1">
      <c r="A128" s="38"/>
      <c r="H128" s="38"/>
    </row>
    <row r="129" spans="1:10" ht="14.1" customHeight="1">
      <c r="A129" s="38"/>
      <c r="H129" s="38"/>
    </row>
    <row r="130" spans="1:10" ht="14.1" customHeight="1">
      <c r="A130" s="38"/>
      <c r="H130" s="38"/>
    </row>
    <row r="131" spans="1:10" ht="14.1" customHeight="1">
      <c r="A131" s="38"/>
      <c r="H131" s="38"/>
    </row>
    <row r="132" spans="1:10" ht="14.1" customHeight="1">
      <c r="A132" s="38"/>
      <c r="H132" s="38"/>
    </row>
    <row r="133" spans="1:10" ht="14.1" customHeight="1">
      <c r="A133" s="38"/>
      <c r="H133" s="38"/>
    </row>
    <row r="134" spans="1:10" ht="14.1" customHeight="1">
      <c r="A134" s="38"/>
      <c r="H134" s="38"/>
    </row>
    <row r="135" spans="1:10" ht="14.1" customHeight="1">
      <c r="A135" s="38"/>
      <c r="H135" s="38"/>
    </row>
    <row r="136" spans="1:10" ht="14.1" customHeight="1">
      <c r="A136" s="38"/>
      <c r="H136" s="38"/>
    </row>
    <row r="137" spans="1:10" ht="14.1" customHeight="1">
      <c r="A137" s="38"/>
      <c r="H137" s="38"/>
    </row>
    <row r="138" spans="1:10" ht="14.1" customHeight="1">
      <c r="A138" s="38"/>
      <c r="H138" s="38"/>
    </row>
    <row r="139" spans="1:10" ht="14.1" customHeight="1">
      <c r="A139" s="50"/>
      <c r="B139" s="87"/>
      <c r="C139" s="79"/>
      <c r="D139" s="69"/>
      <c r="E139" s="70"/>
      <c r="F139" s="79"/>
      <c r="G139" s="79"/>
      <c r="H139" s="73"/>
      <c r="I139" s="80"/>
      <c r="J139" s="85"/>
    </row>
    <row r="140" spans="1:10" ht="14.1" customHeight="1">
      <c r="A140" s="50"/>
      <c r="B140" s="87"/>
      <c r="C140" s="79"/>
      <c r="D140" s="69"/>
      <c r="E140" s="70"/>
      <c r="F140" s="79"/>
      <c r="G140" s="79"/>
      <c r="H140" s="73"/>
      <c r="I140" s="80"/>
      <c r="J140" s="85"/>
    </row>
    <row r="141" spans="1:10" ht="14.1" customHeight="1">
      <c r="A141" s="50"/>
      <c r="B141" s="87"/>
      <c r="C141" s="79"/>
      <c r="D141" s="69"/>
      <c r="E141" s="70"/>
      <c r="F141" s="79"/>
      <c r="G141" s="79"/>
      <c r="H141" s="73"/>
      <c r="I141" s="80"/>
      <c r="J141" s="85"/>
    </row>
    <row r="142" spans="1:10" ht="14.1" customHeight="1">
      <c r="A142" s="50"/>
      <c r="B142" s="87"/>
      <c r="C142" s="79"/>
      <c r="D142" s="69"/>
      <c r="E142" s="70"/>
      <c r="F142" s="79"/>
      <c r="G142" s="79"/>
      <c r="H142" s="73"/>
      <c r="I142" s="80"/>
      <c r="J142" s="85"/>
    </row>
    <row r="143" spans="1:10" ht="14.1" customHeight="1">
      <c r="A143" s="50"/>
      <c r="B143" s="87"/>
      <c r="C143" s="79"/>
      <c r="D143" s="69"/>
      <c r="E143" s="70"/>
      <c r="F143" s="79"/>
      <c r="G143" s="79"/>
      <c r="H143" s="73"/>
      <c r="I143" s="80"/>
      <c r="J143" s="85"/>
    </row>
    <row r="144" spans="1:10" ht="14.1" customHeight="1">
      <c r="A144" s="50"/>
      <c r="B144" s="87"/>
      <c r="C144" s="79"/>
      <c r="D144" s="69"/>
      <c r="E144" s="70"/>
      <c r="F144" s="79"/>
      <c r="G144" s="79"/>
      <c r="H144" s="73"/>
      <c r="I144" s="80"/>
      <c r="J144" s="85"/>
    </row>
    <row r="145" spans="1:10" ht="14.1" customHeight="1">
      <c r="A145" s="50"/>
      <c r="B145" s="87"/>
      <c r="C145" s="79"/>
      <c r="D145" s="69"/>
      <c r="E145" s="70"/>
      <c r="F145" s="79"/>
      <c r="G145" s="79"/>
      <c r="H145" s="73"/>
      <c r="I145" s="80"/>
      <c r="J145" s="85"/>
    </row>
    <row r="146" spans="1:10" ht="14.1" customHeight="1">
      <c r="A146" s="50"/>
      <c r="B146" s="87"/>
      <c r="C146" s="79"/>
      <c r="D146" s="69"/>
      <c r="E146" s="70"/>
      <c r="F146" s="79"/>
      <c r="G146" s="79"/>
      <c r="H146" s="73"/>
      <c r="I146" s="80"/>
      <c r="J146" s="85"/>
    </row>
    <row r="147" spans="1:10" ht="14.1" customHeight="1">
      <c r="A147" s="50"/>
      <c r="B147" s="87"/>
      <c r="C147" s="79"/>
      <c r="D147" s="69"/>
      <c r="E147" s="70"/>
      <c r="F147" s="79"/>
      <c r="G147" s="79"/>
      <c r="H147" s="73"/>
      <c r="I147" s="80"/>
      <c r="J147" s="85"/>
    </row>
    <row r="148" spans="1:10" ht="14.1" customHeight="1">
      <c r="A148" s="50"/>
      <c r="B148" s="87"/>
      <c r="C148" s="79"/>
      <c r="D148" s="69"/>
      <c r="E148" s="70"/>
      <c r="F148" s="79"/>
      <c r="G148" s="79"/>
      <c r="H148" s="73"/>
      <c r="I148" s="80"/>
      <c r="J148" s="85"/>
    </row>
    <row r="149" spans="1:10" ht="14.1" customHeight="1">
      <c r="A149" s="50"/>
      <c r="B149" s="87"/>
      <c r="C149" s="79"/>
      <c r="D149" s="69"/>
      <c r="E149" s="70"/>
      <c r="F149" s="79"/>
      <c r="G149" s="79"/>
      <c r="H149" s="73"/>
      <c r="I149" s="80"/>
      <c r="J149" s="85"/>
    </row>
    <row r="150" spans="1:10" ht="14.1" customHeight="1">
      <c r="A150" s="50"/>
      <c r="B150" s="87"/>
      <c r="C150" s="79"/>
      <c r="D150" s="69"/>
      <c r="E150" s="70"/>
      <c r="F150" s="79"/>
      <c r="G150" s="79"/>
      <c r="H150" s="73"/>
      <c r="I150" s="80"/>
      <c r="J150" s="85"/>
    </row>
    <row r="151" spans="1:10" ht="14.1" customHeight="1">
      <c r="A151" s="50"/>
      <c r="B151" s="87"/>
      <c r="C151" s="79"/>
      <c r="D151" s="69"/>
      <c r="E151" s="70"/>
      <c r="F151" s="79"/>
      <c r="G151" s="79"/>
      <c r="H151" s="73"/>
      <c r="I151" s="80"/>
      <c r="J151" s="85"/>
    </row>
    <row r="152" spans="1:10" ht="14.1" customHeight="1">
      <c r="A152" s="50"/>
      <c r="B152" s="87"/>
      <c r="C152" s="79"/>
      <c r="D152" s="69"/>
      <c r="E152" s="70"/>
      <c r="F152" s="79"/>
      <c r="G152" s="79"/>
      <c r="H152" s="73"/>
      <c r="I152" s="80"/>
      <c r="J152" s="85"/>
    </row>
    <row r="153" spans="1:10" ht="14.1" customHeight="1">
      <c r="A153" s="50"/>
      <c r="B153" s="87"/>
      <c r="C153" s="79"/>
      <c r="D153" s="69"/>
      <c r="E153" s="70"/>
      <c r="F153" s="79"/>
      <c r="G153" s="79"/>
      <c r="H153" s="73"/>
      <c r="I153" s="80"/>
      <c r="J153" s="85"/>
    </row>
    <row r="154" spans="1:10" ht="14.1" customHeight="1">
      <c r="A154" s="50"/>
      <c r="B154" s="87"/>
      <c r="C154" s="79"/>
      <c r="D154" s="69"/>
      <c r="E154" s="70"/>
      <c r="F154" s="79"/>
      <c r="G154" s="79"/>
      <c r="H154" s="73"/>
      <c r="I154" s="80"/>
      <c r="J154" s="85"/>
    </row>
    <row r="155" spans="1:10" ht="14.1" customHeight="1">
      <c r="A155" s="50"/>
      <c r="B155" s="87"/>
      <c r="C155" s="79"/>
      <c r="D155" s="69"/>
      <c r="E155" s="70"/>
      <c r="F155" s="79"/>
      <c r="G155" s="79"/>
      <c r="H155" s="73"/>
      <c r="I155" s="80"/>
      <c r="J155" s="85"/>
    </row>
    <row r="156" spans="1:10" ht="14.1" customHeight="1">
      <c r="A156" s="50"/>
      <c r="B156" s="87"/>
      <c r="C156" s="79"/>
      <c r="D156" s="69"/>
      <c r="E156" s="70"/>
      <c r="F156" s="79"/>
      <c r="G156" s="79"/>
      <c r="H156" s="73"/>
      <c r="I156" s="80"/>
      <c r="J156" s="85"/>
    </row>
    <row r="157" spans="1:10" ht="14.1" customHeight="1">
      <c r="A157" s="50"/>
      <c r="B157" s="87"/>
      <c r="C157" s="79"/>
      <c r="D157" s="69"/>
      <c r="E157" s="70"/>
      <c r="F157" s="71"/>
      <c r="G157" s="72"/>
      <c r="H157" s="73"/>
      <c r="I157" s="74"/>
      <c r="J157" s="75"/>
    </row>
    <row r="158" spans="1:10" ht="14.1" customHeight="1">
      <c r="A158" s="38"/>
      <c r="B158" s="87"/>
      <c r="C158" s="79"/>
      <c r="D158" s="69"/>
      <c r="H158" s="38"/>
    </row>
    <row r="159" spans="1:10" ht="14.1" customHeight="1">
      <c r="A159" s="38"/>
      <c r="H159" s="38"/>
    </row>
    <row r="160" spans="1:10" ht="14.1" customHeight="1">
      <c r="A160" s="38"/>
      <c r="H160" s="38"/>
    </row>
    <row r="161" spans="1:8" ht="14.1" customHeight="1">
      <c r="A161" s="38"/>
      <c r="H161" s="38"/>
    </row>
    <row r="162" spans="1:8" ht="14.1" customHeight="1">
      <c r="A162" s="38"/>
      <c r="H162" s="38"/>
    </row>
    <row r="163" spans="1:8" ht="14.1" customHeight="1">
      <c r="A163" s="38"/>
      <c r="H163" s="38"/>
    </row>
    <row r="164" spans="1:8" ht="14.1" customHeight="1">
      <c r="A164" s="38"/>
      <c r="H164" s="38"/>
    </row>
    <row r="165" spans="1:8" ht="14.1" customHeight="1">
      <c r="A165" s="38"/>
      <c r="H165" s="38"/>
    </row>
    <row r="166" spans="1:8" ht="14.1" customHeight="1">
      <c r="A166" s="38"/>
      <c r="H166" s="38"/>
    </row>
    <row r="167" spans="1:8" ht="14.1" customHeight="1">
      <c r="A167" s="38"/>
      <c r="H167" s="38"/>
    </row>
    <row r="168" spans="1:8" ht="14.1" customHeight="1">
      <c r="A168" s="38"/>
      <c r="H168" s="38"/>
    </row>
    <row r="169" spans="1:8" ht="14.1" customHeight="1">
      <c r="A169" s="38"/>
      <c r="H169" s="38"/>
    </row>
    <row r="170" spans="1:8" ht="14.1" customHeight="1">
      <c r="A170" s="38"/>
      <c r="H170" s="38"/>
    </row>
    <row r="171" spans="1:8" ht="14.1" customHeight="1">
      <c r="A171" s="38"/>
      <c r="H171" s="38"/>
    </row>
    <row r="172" spans="1:8" ht="14.1" customHeight="1">
      <c r="A172" s="38"/>
      <c r="H172" s="38"/>
    </row>
    <row r="173" spans="1:8" ht="14.1" customHeight="1">
      <c r="A173" s="38"/>
      <c r="H173" s="38"/>
    </row>
    <row r="174" spans="1:8" ht="14.1" customHeight="1">
      <c r="A174" s="38"/>
      <c r="H174" s="38"/>
    </row>
    <row r="175" spans="1:8" ht="14.1" customHeight="1">
      <c r="A175" s="38"/>
      <c r="H175" s="38"/>
    </row>
    <row r="176" spans="1:8" ht="14.1" customHeight="1">
      <c r="A176" s="38"/>
      <c r="H176" s="38"/>
    </row>
    <row r="177" spans="1:8" ht="14.1" customHeight="1">
      <c r="A177" s="38"/>
      <c r="H177" s="38"/>
    </row>
    <row r="178" spans="1:8" ht="14.1" customHeight="1">
      <c r="A178" s="38"/>
      <c r="H178" s="38"/>
    </row>
    <row r="179" spans="1:8">
      <c r="A179" s="38"/>
      <c r="H179" s="38"/>
    </row>
    <row r="180" spans="1:8">
      <c r="A180" s="38"/>
      <c r="H180" s="38"/>
    </row>
    <row r="181" spans="1:8">
      <c r="A181" s="38"/>
      <c r="H181" s="38"/>
    </row>
    <row r="182" spans="1:8">
      <c r="A182" s="38"/>
      <c r="H182" s="38"/>
    </row>
    <row r="183" spans="1:8">
      <c r="A183" s="38"/>
      <c r="H183" s="38"/>
    </row>
    <row r="184" spans="1:8">
      <c r="A184" s="38"/>
      <c r="H184" s="38"/>
    </row>
    <row r="185" spans="1:8">
      <c r="A185" s="38"/>
      <c r="H185" s="38"/>
    </row>
    <row r="186" spans="1:8">
      <c r="A186" s="38"/>
      <c r="H186" s="38"/>
    </row>
    <row r="187" spans="1:8">
      <c r="A187" s="38"/>
      <c r="H187" s="38"/>
    </row>
    <row r="188" spans="1:8">
      <c r="A188" s="38"/>
      <c r="H188" s="38"/>
    </row>
    <row r="189" spans="1:8">
      <c r="A189" s="38"/>
      <c r="H189" s="38"/>
    </row>
    <row r="190" spans="1:8">
      <c r="A190" s="38"/>
      <c r="H190" s="38"/>
    </row>
    <row r="191" spans="1:8">
      <c r="A191" s="38"/>
      <c r="H191" s="38"/>
    </row>
    <row r="192" spans="1:8">
      <c r="A192" s="38"/>
      <c r="H192" s="38"/>
    </row>
    <row r="193" spans="1:8">
      <c r="A193" s="38"/>
      <c r="H193" s="38"/>
    </row>
    <row r="194" spans="1:8">
      <c r="A194" s="38"/>
      <c r="H194" s="38"/>
    </row>
    <row r="195" spans="1:8">
      <c r="A195" s="38"/>
      <c r="H195" s="38"/>
    </row>
    <row r="196" spans="1:8">
      <c r="A196" s="38"/>
      <c r="H196" s="38"/>
    </row>
    <row r="197" spans="1:8">
      <c r="A197" s="38"/>
      <c r="H197" s="38"/>
    </row>
    <row r="198" spans="1:8">
      <c r="A198" s="38"/>
      <c r="H198" s="38"/>
    </row>
    <row r="199" spans="1:8">
      <c r="A199" s="38"/>
      <c r="H199" s="38"/>
    </row>
    <row r="200" spans="1:8">
      <c r="A200" s="38"/>
      <c r="H200" s="38"/>
    </row>
    <row r="201" spans="1:8">
      <c r="A201" s="38"/>
      <c r="H201" s="38"/>
    </row>
    <row r="202" spans="1:8">
      <c r="A202" s="38"/>
      <c r="H202" s="38"/>
    </row>
    <row r="203" spans="1:8">
      <c r="A203" s="38"/>
      <c r="H203" s="38"/>
    </row>
    <row r="204" spans="1:8">
      <c r="A204" s="38"/>
      <c r="H204" s="38"/>
    </row>
    <row r="205" spans="1:8">
      <c r="A205" s="38"/>
      <c r="H205" s="38"/>
    </row>
    <row r="206" spans="1:8" ht="15.75" customHeight="1">
      <c r="A206" s="38"/>
      <c r="H206" s="38"/>
    </row>
    <row r="207" spans="1:8" ht="15.75" customHeight="1">
      <c r="A207" s="38"/>
      <c r="H207" s="38"/>
    </row>
    <row r="208" spans="1:8" ht="15.75" customHeight="1">
      <c r="A208" s="38"/>
      <c r="H208" s="38"/>
    </row>
    <row r="209" spans="1:8" ht="15" customHeight="1">
      <c r="A209" s="38"/>
      <c r="H209" s="38"/>
    </row>
    <row r="210" spans="1:8" ht="15" customHeight="1">
      <c r="A210" s="38"/>
      <c r="H210" s="38"/>
    </row>
    <row r="211" spans="1:8" ht="15" customHeight="1">
      <c r="A211" s="38"/>
      <c r="H211" s="38"/>
    </row>
    <row r="212" spans="1:8" ht="15" customHeight="1">
      <c r="A212" s="38"/>
      <c r="H212" s="38"/>
    </row>
    <row r="213" spans="1:8" ht="15" customHeight="1">
      <c r="A213" s="38"/>
      <c r="H213" s="38"/>
    </row>
    <row r="214" spans="1:8" ht="15" customHeight="1">
      <c r="A214" s="38"/>
      <c r="H214" s="38"/>
    </row>
    <row r="215" spans="1:8" ht="15" customHeight="1">
      <c r="A215" s="38"/>
      <c r="H215" s="38"/>
    </row>
    <row r="216" spans="1:8" ht="15" customHeight="1">
      <c r="A216" s="38"/>
      <c r="H216" s="38"/>
    </row>
    <row r="217" spans="1:8" ht="15" customHeight="1">
      <c r="A217" s="38"/>
      <c r="H217" s="38"/>
    </row>
    <row r="218" spans="1:8" ht="15" customHeight="1">
      <c r="A218" s="38"/>
      <c r="H218" s="38"/>
    </row>
    <row r="219" spans="1:8" ht="15" customHeight="1">
      <c r="A219" s="38"/>
      <c r="H219" s="38"/>
    </row>
    <row r="220" spans="1:8" ht="15" customHeight="1">
      <c r="A220" s="38"/>
      <c r="H220" s="38"/>
    </row>
    <row r="221" spans="1:8" ht="15" customHeight="1">
      <c r="A221" s="38"/>
      <c r="H221" s="38"/>
    </row>
    <row r="222" spans="1:8">
      <c r="A222" s="38"/>
      <c r="H222" s="38"/>
    </row>
    <row r="223" spans="1:8">
      <c r="A223" s="38"/>
      <c r="H223" s="38"/>
    </row>
    <row r="224" spans="1:8">
      <c r="A224" s="38"/>
      <c r="H224" s="38"/>
    </row>
    <row r="225" spans="1:8">
      <c r="A225" s="38"/>
      <c r="H225" s="38"/>
    </row>
    <row r="226" spans="1:8">
      <c r="A226" s="38"/>
      <c r="H226" s="38"/>
    </row>
    <row r="227" spans="1:8">
      <c r="A227" s="38"/>
      <c r="H227" s="38"/>
    </row>
    <row r="228" spans="1:8">
      <c r="A228" s="38"/>
      <c r="H228" s="38"/>
    </row>
    <row r="229" spans="1:8">
      <c r="A229" s="38"/>
      <c r="H229" s="38"/>
    </row>
    <row r="230" spans="1:8">
      <c r="A230" s="38"/>
      <c r="H230" s="38"/>
    </row>
    <row r="231" spans="1:8">
      <c r="A231" s="38"/>
      <c r="H231" s="38"/>
    </row>
    <row r="232" spans="1:8">
      <c r="A232" s="38"/>
      <c r="H232" s="38"/>
    </row>
    <row r="233" spans="1:8">
      <c r="A233" s="38"/>
      <c r="H233" s="38"/>
    </row>
    <row r="234" spans="1:8">
      <c r="A234" s="38"/>
      <c r="H234" s="38"/>
    </row>
    <row r="235" spans="1:8">
      <c r="A235" s="38"/>
      <c r="H235" s="38"/>
    </row>
    <row r="236" spans="1:8">
      <c r="A236" s="38"/>
      <c r="H236" s="38"/>
    </row>
    <row r="237" spans="1:8">
      <c r="A237" s="38"/>
      <c r="H237" s="38"/>
    </row>
    <row r="238" spans="1:8">
      <c r="A238" s="38"/>
      <c r="H238" s="38"/>
    </row>
    <row r="239" spans="1:8">
      <c r="A239" s="38"/>
      <c r="H239" s="38"/>
    </row>
    <row r="240" spans="1:8">
      <c r="A240" s="38"/>
      <c r="H240" s="38"/>
    </row>
    <row r="241" spans="1:8">
      <c r="A241" s="38"/>
      <c r="H241" s="38"/>
    </row>
    <row r="242" spans="1:8">
      <c r="A242" s="38"/>
      <c r="H242" s="38"/>
    </row>
    <row r="243" spans="1:8">
      <c r="A243" s="38"/>
      <c r="H243" s="38"/>
    </row>
    <row r="244" spans="1:8">
      <c r="A244" s="38"/>
      <c r="H244" s="38"/>
    </row>
    <row r="245" spans="1:8">
      <c r="A245" s="38"/>
      <c r="H245" s="38"/>
    </row>
    <row r="246" spans="1:8">
      <c r="A246" s="38"/>
      <c r="H246" s="38"/>
    </row>
    <row r="247" spans="1:8">
      <c r="A247" s="38"/>
      <c r="H247" s="38"/>
    </row>
    <row r="248" spans="1:8">
      <c r="A248" s="38"/>
      <c r="H248" s="38"/>
    </row>
    <row r="249" spans="1:8">
      <c r="A249" s="38"/>
      <c r="H249" s="38"/>
    </row>
    <row r="250" spans="1:8">
      <c r="A250" s="38"/>
      <c r="H250" s="38"/>
    </row>
    <row r="251" spans="1:8">
      <c r="A251" s="38"/>
      <c r="H251" s="38"/>
    </row>
    <row r="252" spans="1:8">
      <c r="A252" s="38"/>
      <c r="H252" s="38"/>
    </row>
    <row r="253" spans="1:8">
      <c r="A253" s="38"/>
      <c r="H253" s="38"/>
    </row>
    <row r="254" spans="1:8">
      <c r="A254" s="38"/>
      <c r="H254" s="38"/>
    </row>
    <row r="255" spans="1:8">
      <c r="A255" s="38"/>
      <c r="H255" s="38"/>
    </row>
    <row r="256" spans="1:8">
      <c r="A256" s="38"/>
      <c r="H256" s="38"/>
    </row>
    <row r="257" spans="1:8">
      <c r="A257" s="38"/>
      <c r="H257" s="38"/>
    </row>
    <row r="258" spans="1:8">
      <c r="A258" s="38"/>
      <c r="H258" s="38"/>
    </row>
    <row r="259" spans="1:8">
      <c r="A259" s="38"/>
      <c r="H259" s="38"/>
    </row>
    <row r="260" spans="1:8">
      <c r="A260" s="38"/>
      <c r="H260" s="38"/>
    </row>
    <row r="261" spans="1:8">
      <c r="A261" s="38"/>
      <c r="H261" s="38"/>
    </row>
    <row r="262" spans="1:8">
      <c r="A262" s="38"/>
      <c r="H262" s="38"/>
    </row>
    <row r="263" spans="1:8">
      <c r="A263" s="38"/>
      <c r="H263" s="38"/>
    </row>
    <row r="264" spans="1:8">
      <c r="A264" s="38"/>
      <c r="H264" s="38"/>
    </row>
    <row r="265" spans="1:8">
      <c r="A265" s="38"/>
      <c r="H265" s="38"/>
    </row>
    <row r="266" spans="1:8">
      <c r="A266" s="38"/>
      <c r="H266" s="38"/>
    </row>
    <row r="267" spans="1:8">
      <c r="A267" s="38"/>
      <c r="H267" s="38"/>
    </row>
    <row r="268" spans="1:8">
      <c r="A268" s="38"/>
      <c r="H268" s="38"/>
    </row>
    <row r="269" spans="1:8">
      <c r="A269" s="38"/>
      <c r="H269" s="38"/>
    </row>
    <row r="270" spans="1:8">
      <c r="A270" s="38"/>
      <c r="H270" s="38"/>
    </row>
    <row r="271" spans="1:8">
      <c r="A271" s="38"/>
      <c r="H271" s="38"/>
    </row>
    <row r="272" spans="1:8">
      <c r="A272" s="38"/>
      <c r="H272" s="38"/>
    </row>
    <row r="273" spans="1:8">
      <c r="A273" s="38"/>
      <c r="H273" s="38"/>
    </row>
    <row r="274" spans="1:8">
      <c r="A274" s="38"/>
      <c r="H274" s="38"/>
    </row>
    <row r="275" spans="1:8">
      <c r="A275" s="38"/>
      <c r="H275" s="38"/>
    </row>
    <row r="276" spans="1:8">
      <c r="A276" s="38"/>
      <c r="H276" s="38"/>
    </row>
    <row r="277" spans="1:8">
      <c r="A277" s="38"/>
      <c r="H277" s="38"/>
    </row>
    <row r="278" spans="1:8">
      <c r="A278" s="38"/>
      <c r="H278" s="38"/>
    </row>
    <row r="279" spans="1:8">
      <c r="A279" s="38"/>
      <c r="H279" s="38"/>
    </row>
    <row r="280" spans="1:8">
      <c r="A280" s="38"/>
      <c r="H280" s="38"/>
    </row>
    <row r="281" spans="1:8">
      <c r="A281" s="38"/>
      <c r="H281" s="38"/>
    </row>
    <row r="282" spans="1:8">
      <c r="A282" s="38"/>
      <c r="H282" s="38"/>
    </row>
    <row r="283" spans="1:8">
      <c r="A283" s="38"/>
      <c r="H283" s="38"/>
    </row>
    <row r="284" spans="1:8">
      <c r="A284" s="38"/>
      <c r="H284" s="38"/>
    </row>
    <row r="285" spans="1:8">
      <c r="A285" s="38"/>
      <c r="H285" s="38"/>
    </row>
    <row r="286" spans="1:8">
      <c r="A286" s="38"/>
      <c r="H286" s="38"/>
    </row>
    <row r="287" spans="1:8">
      <c r="A287" s="38"/>
      <c r="H287" s="38"/>
    </row>
    <row r="288" spans="1:8">
      <c r="A288" s="38"/>
      <c r="H288" s="38"/>
    </row>
    <row r="289" spans="1:8">
      <c r="A289" s="38"/>
      <c r="H289" s="38"/>
    </row>
    <row r="290" spans="1:8">
      <c r="A290" s="38"/>
      <c r="H290" s="38"/>
    </row>
    <row r="291" spans="1:8">
      <c r="A291" s="38"/>
      <c r="H291" s="38"/>
    </row>
    <row r="292" spans="1:8">
      <c r="A292" s="38"/>
      <c r="H292" s="38"/>
    </row>
    <row r="293" spans="1:8">
      <c r="A293" s="38"/>
      <c r="H293" s="38"/>
    </row>
    <row r="294" spans="1:8">
      <c r="A294" s="38"/>
      <c r="H294" s="38"/>
    </row>
    <row r="295" spans="1:8">
      <c r="A295" s="38"/>
      <c r="H295" s="38"/>
    </row>
    <row r="296" spans="1:8">
      <c r="A296" s="38"/>
      <c r="H296" s="38"/>
    </row>
    <row r="297" spans="1:8">
      <c r="A297" s="38"/>
      <c r="H297" s="38"/>
    </row>
    <row r="298" spans="1:8">
      <c r="A298" s="38"/>
      <c r="H298" s="38"/>
    </row>
    <row r="299" spans="1:8">
      <c r="A299" s="38"/>
      <c r="H299" s="38"/>
    </row>
    <row r="300" spans="1:8">
      <c r="A300" s="38"/>
      <c r="H300" s="38"/>
    </row>
    <row r="301" spans="1:8">
      <c r="A301" s="38"/>
      <c r="H301" s="38"/>
    </row>
    <row r="302" spans="1:8">
      <c r="A302" s="38"/>
      <c r="H302" s="38"/>
    </row>
    <row r="303" spans="1:8">
      <c r="A303" s="38"/>
      <c r="H303" s="38"/>
    </row>
    <row r="304" spans="1:8">
      <c r="A304" s="38"/>
      <c r="H304" s="38"/>
    </row>
    <row r="305" spans="1:8">
      <c r="A305" s="38"/>
      <c r="H305" s="38"/>
    </row>
    <row r="306" spans="1:8">
      <c r="A306" s="38"/>
      <c r="H306" s="38"/>
    </row>
    <row r="307" spans="1:8">
      <c r="A307" s="38"/>
      <c r="H307" s="38"/>
    </row>
    <row r="308" spans="1:8">
      <c r="A308" s="38"/>
      <c r="H308" s="38"/>
    </row>
    <row r="309" spans="1:8">
      <c r="A309" s="38"/>
      <c r="H309" s="38"/>
    </row>
    <row r="310" spans="1:8">
      <c r="A310" s="38"/>
      <c r="H310" s="38"/>
    </row>
    <row r="311" spans="1:8">
      <c r="A311" s="38"/>
      <c r="H311" s="38"/>
    </row>
    <row r="312" spans="1:8">
      <c r="A312" s="38"/>
      <c r="H312" s="38"/>
    </row>
    <row r="313" spans="1:8">
      <c r="A313" s="38"/>
      <c r="H313" s="38"/>
    </row>
    <row r="314" spans="1:8">
      <c r="A314" s="38"/>
      <c r="H314" s="38"/>
    </row>
    <row r="315" spans="1:8">
      <c r="A315" s="38"/>
      <c r="H315" s="38"/>
    </row>
    <row r="316" spans="1:8">
      <c r="A316" s="38"/>
      <c r="H316" s="38"/>
    </row>
    <row r="317" spans="1:8">
      <c r="A317" s="38"/>
      <c r="H317" s="38"/>
    </row>
    <row r="318" spans="1:8">
      <c r="A318" s="38"/>
      <c r="H318" s="38"/>
    </row>
    <row r="319" spans="1:8">
      <c r="A319" s="38"/>
      <c r="H319" s="38"/>
    </row>
    <row r="320" spans="1:8">
      <c r="A320" s="38"/>
      <c r="H320" s="38"/>
    </row>
    <row r="321" spans="1:8">
      <c r="A321" s="38"/>
      <c r="H321" s="38"/>
    </row>
    <row r="322" spans="1:8">
      <c r="A322" s="38"/>
      <c r="H322" s="38"/>
    </row>
    <row r="323" spans="1:8">
      <c r="A323" s="38"/>
      <c r="H323" s="38"/>
    </row>
    <row r="324" spans="1:8">
      <c r="A324" s="38"/>
      <c r="H324" s="38"/>
    </row>
    <row r="325" spans="1:8">
      <c r="A325" s="38"/>
      <c r="H325" s="38"/>
    </row>
    <row r="326" spans="1:8">
      <c r="A326" s="38"/>
      <c r="H326" s="38"/>
    </row>
    <row r="327" spans="1:8">
      <c r="A327" s="38"/>
      <c r="H327" s="38"/>
    </row>
    <row r="328" spans="1:8">
      <c r="A328" s="38"/>
      <c r="H328" s="38"/>
    </row>
    <row r="329" spans="1:8">
      <c r="A329" s="38"/>
      <c r="H329" s="38"/>
    </row>
    <row r="330" spans="1:8">
      <c r="A330" s="38"/>
      <c r="H330" s="38"/>
    </row>
    <row r="331" spans="1:8">
      <c r="A331" s="38"/>
      <c r="H331" s="38"/>
    </row>
    <row r="332" spans="1:8">
      <c r="A332" s="38"/>
      <c r="H332" s="38"/>
    </row>
    <row r="333" spans="1:8">
      <c r="A333" s="38"/>
      <c r="H333" s="38"/>
    </row>
    <row r="334" spans="1:8">
      <c r="A334" s="38"/>
      <c r="H334" s="38"/>
    </row>
    <row r="335" spans="1:8">
      <c r="A335" s="38"/>
      <c r="H335" s="38"/>
    </row>
    <row r="336" spans="1:8">
      <c r="A336" s="38"/>
      <c r="H336" s="38"/>
    </row>
    <row r="337" spans="1:8">
      <c r="A337" s="38"/>
      <c r="H337" s="38"/>
    </row>
    <row r="338" spans="1:8">
      <c r="A338" s="38"/>
      <c r="H338" s="38"/>
    </row>
    <row r="339" spans="1:8">
      <c r="A339" s="38"/>
      <c r="H339" s="38"/>
    </row>
    <row r="340" spans="1:8">
      <c r="A340" s="38"/>
      <c r="H340" s="38"/>
    </row>
    <row r="341" spans="1:8">
      <c r="A341" s="38"/>
      <c r="H341" s="38"/>
    </row>
    <row r="342" spans="1:8">
      <c r="A342" s="38"/>
      <c r="H342" s="38"/>
    </row>
    <row r="343" spans="1:8">
      <c r="A343" s="38"/>
      <c r="H343" s="38"/>
    </row>
    <row r="344" spans="1:8">
      <c r="A344" s="38"/>
      <c r="H344" s="38"/>
    </row>
    <row r="345" spans="1:8">
      <c r="A345" s="38"/>
      <c r="H345" s="38"/>
    </row>
    <row r="346" spans="1:8">
      <c r="A346" s="38"/>
      <c r="H346" s="38"/>
    </row>
    <row r="347" spans="1:8">
      <c r="A347" s="38"/>
      <c r="H347" s="38"/>
    </row>
    <row r="348" spans="1:8">
      <c r="A348" s="38"/>
      <c r="H348" s="38"/>
    </row>
    <row r="349" spans="1:8">
      <c r="A349" s="38"/>
      <c r="H349" s="38"/>
    </row>
    <row r="350" spans="1:8">
      <c r="A350" s="38"/>
      <c r="H350" s="38"/>
    </row>
    <row r="351" spans="1:8">
      <c r="A351" s="38"/>
      <c r="H351" s="38"/>
    </row>
    <row r="352" spans="1:8">
      <c r="A352" s="38"/>
      <c r="H352" s="38"/>
    </row>
    <row r="353" spans="1:8">
      <c r="A353" s="38"/>
      <c r="H353" s="38"/>
    </row>
    <row r="354" spans="1:8">
      <c r="A354" s="38"/>
      <c r="H354" s="38"/>
    </row>
    <row r="355" spans="1:8">
      <c r="A355" s="38"/>
      <c r="H355" s="38"/>
    </row>
    <row r="356" spans="1:8">
      <c r="A356" s="38"/>
      <c r="H356" s="38"/>
    </row>
    <row r="357" spans="1:8">
      <c r="A357" s="38"/>
      <c r="H357" s="38"/>
    </row>
    <row r="358" spans="1:8">
      <c r="A358" s="38"/>
      <c r="H358" s="38"/>
    </row>
    <row r="359" spans="1:8">
      <c r="A359" s="38"/>
      <c r="H359" s="38"/>
    </row>
    <row r="360" spans="1:8">
      <c r="A360" s="38"/>
      <c r="H360" s="38"/>
    </row>
    <row r="361" spans="1:8">
      <c r="A361" s="38"/>
      <c r="H361" s="38"/>
    </row>
    <row r="362" spans="1:8">
      <c r="A362" s="38"/>
      <c r="H362" s="38"/>
    </row>
    <row r="363" spans="1:8">
      <c r="A363" s="38"/>
      <c r="H363" s="38"/>
    </row>
    <row r="364" spans="1:8">
      <c r="A364" s="38"/>
      <c r="H364" s="38"/>
    </row>
    <row r="365" spans="1:8">
      <c r="A365" s="38"/>
      <c r="H365" s="38"/>
    </row>
    <row r="366" spans="1:8">
      <c r="A366" s="38"/>
      <c r="H366" s="38"/>
    </row>
    <row r="367" spans="1:8">
      <c r="A367" s="38"/>
      <c r="H367" s="38"/>
    </row>
    <row r="368" spans="1:8">
      <c r="A368" s="38"/>
      <c r="H368" s="38"/>
    </row>
    <row r="369" spans="1:8">
      <c r="A369" s="38"/>
      <c r="H369" s="38"/>
    </row>
    <row r="370" spans="1:8">
      <c r="A370" s="38"/>
      <c r="H370" s="38"/>
    </row>
    <row r="371" spans="1:8">
      <c r="A371" s="38"/>
      <c r="H371" s="38"/>
    </row>
    <row r="372" spans="1:8">
      <c r="A372" s="38"/>
      <c r="H372" s="38"/>
    </row>
    <row r="373" spans="1:8">
      <c r="A373" s="38"/>
      <c r="H373" s="38"/>
    </row>
    <row r="374" spans="1:8">
      <c r="A374" s="38"/>
      <c r="H374" s="38"/>
    </row>
    <row r="375" spans="1:8">
      <c r="A375" s="38"/>
      <c r="H375" s="38"/>
    </row>
    <row r="376" spans="1:8">
      <c r="A376" s="38"/>
      <c r="H376" s="38"/>
    </row>
    <row r="377" spans="1:8">
      <c r="A377" s="38"/>
      <c r="H377" s="38"/>
    </row>
    <row r="378" spans="1:8">
      <c r="A378" s="38"/>
      <c r="H378" s="38"/>
    </row>
    <row r="379" spans="1:8">
      <c r="A379" s="38"/>
      <c r="H379" s="38"/>
    </row>
    <row r="380" spans="1:8">
      <c r="A380" s="38"/>
      <c r="H380" s="38"/>
    </row>
    <row r="381" spans="1:8">
      <c r="A381" s="38"/>
      <c r="H381" s="38"/>
    </row>
    <row r="382" spans="1:8">
      <c r="A382" s="38"/>
      <c r="H382" s="38"/>
    </row>
    <row r="383" spans="1:8">
      <c r="A383" s="38"/>
      <c r="H383" s="38"/>
    </row>
    <row r="384" spans="1:8">
      <c r="A384" s="38"/>
      <c r="H384" s="38"/>
    </row>
    <row r="385" spans="1:8">
      <c r="A385" s="38"/>
      <c r="H385" s="38"/>
    </row>
    <row r="386" spans="1:8">
      <c r="A386" s="38"/>
      <c r="H386" s="38"/>
    </row>
    <row r="387" spans="1:8">
      <c r="A387" s="38"/>
      <c r="H387" s="38"/>
    </row>
    <row r="388" spans="1:8">
      <c r="A388" s="38"/>
      <c r="H388" s="38"/>
    </row>
    <row r="389" spans="1:8">
      <c r="A389" s="38"/>
      <c r="H389" s="38"/>
    </row>
    <row r="390" spans="1:8">
      <c r="A390" s="38"/>
      <c r="H390" s="38"/>
    </row>
    <row r="391" spans="1:8">
      <c r="A391" s="38"/>
      <c r="H391" s="38"/>
    </row>
    <row r="392" spans="1:8">
      <c r="A392" s="38"/>
      <c r="H392" s="38"/>
    </row>
    <row r="393" spans="1:8">
      <c r="A393" s="38"/>
      <c r="H393" s="38"/>
    </row>
    <row r="394" spans="1:8">
      <c r="A394" s="38"/>
      <c r="H394" s="38"/>
    </row>
    <row r="395" spans="1:8">
      <c r="A395" s="38"/>
      <c r="H395" s="38"/>
    </row>
  </sheetData>
  <mergeCells count="18">
    <mergeCell ref="C1:K3"/>
    <mergeCell ref="D21:K21"/>
    <mergeCell ref="D27:K27"/>
    <mergeCell ref="D34:K34"/>
    <mergeCell ref="D37:K37"/>
    <mergeCell ref="D41:K41"/>
    <mergeCell ref="D46:K46"/>
    <mergeCell ref="D49:K49"/>
    <mergeCell ref="D52:K52"/>
    <mergeCell ref="D61:K61"/>
    <mergeCell ref="D83:K83"/>
    <mergeCell ref="D88:K88"/>
    <mergeCell ref="D92:K92"/>
    <mergeCell ref="D68:K68"/>
    <mergeCell ref="D72:K72"/>
    <mergeCell ref="D74:K74"/>
    <mergeCell ref="D77:K77"/>
    <mergeCell ref="D80:K80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54"/>
  <sheetViews>
    <sheetView view="pageBreakPreview" zoomScale="115" zoomScaleSheetLayoutView="115" workbookViewId="0">
      <selection activeCell="D18" sqref="D18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60" t="s">
        <v>3</v>
      </c>
      <c r="B1" s="260"/>
      <c r="C1" s="256" t="s">
        <v>264</v>
      </c>
      <c r="D1" s="256"/>
      <c r="E1" s="256"/>
      <c r="F1" s="256"/>
      <c r="G1" s="256"/>
      <c r="H1" s="256"/>
      <c r="I1" s="256"/>
      <c r="J1" s="256"/>
      <c r="K1" s="256"/>
    </row>
    <row r="2" spans="1:11" ht="15" customHeight="1">
      <c r="C2" s="256"/>
      <c r="D2" s="256"/>
      <c r="E2" s="256"/>
      <c r="F2" s="256"/>
      <c r="G2" s="256"/>
      <c r="H2" s="256"/>
      <c r="I2" s="256"/>
      <c r="J2" s="256"/>
      <c r="K2" s="256"/>
    </row>
    <row r="3" spans="1:11" ht="22.5" customHeight="1">
      <c r="C3" s="256"/>
      <c r="D3" s="256"/>
      <c r="E3" s="256"/>
      <c r="F3" s="256"/>
      <c r="G3" s="256"/>
      <c r="H3" s="256"/>
      <c r="I3" s="256"/>
      <c r="J3" s="256"/>
      <c r="K3" s="256"/>
    </row>
    <row r="4" spans="1:11" ht="15.75">
      <c r="D4" s="11" t="s">
        <v>16</v>
      </c>
      <c r="H4" s="14"/>
    </row>
    <row r="5" spans="1:11" ht="15" customHeight="1">
      <c r="F5" s="11"/>
    </row>
    <row r="6" spans="1:11" ht="15" customHeight="1">
      <c r="A6" s="34" t="s">
        <v>15</v>
      </c>
      <c r="B6" s="261" t="s">
        <v>17</v>
      </c>
      <c r="C6" s="261"/>
      <c r="D6" s="261"/>
      <c r="E6" s="262" t="s">
        <v>18</v>
      </c>
      <c r="F6" s="262"/>
      <c r="G6" s="262"/>
      <c r="H6" s="262"/>
      <c r="I6" s="12"/>
      <c r="J6" s="263" t="s">
        <v>13</v>
      </c>
      <c r="K6" s="263"/>
    </row>
    <row r="7" spans="1:11" ht="15.75">
      <c r="A7" s="7"/>
      <c r="B7" s="35" t="s">
        <v>73</v>
      </c>
      <c r="C7" s="1"/>
    </row>
    <row r="8" spans="1:11" ht="15.75">
      <c r="A8" s="7"/>
      <c r="B8" s="35" t="s">
        <v>49</v>
      </c>
      <c r="C8" s="1"/>
    </row>
    <row r="9" spans="1:11" ht="15.75">
      <c r="A9" s="50">
        <v>1</v>
      </c>
      <c r="B9" s="33" t="s">
        <v>77</v>
      </c>
      <c r="C9" s="38"/>
      <c r="D9" s="111"/>
      <c r="E9" s="111"/>
      <c r="F9" s="111"/>
      <c r="G9" s="111"/>
      <c r="H9" s="111"/>
      <c r="I9" s="41"/>
      <c r="J9" s="112"/>
      <c r="K9" s="113"/>
    </row>
    <row r="10" spans="1:11" ht="15.75">
      <c r="A10" s="50"/>
      <c r="B10" s="33" t="s">
        <v>265</v>
      </c>
      <c r="C10" s="38"/>
      <c r="D10" s="111"/>
      <c r="E10" s="111"/>
      <c r="F10" s="111"/>
      <c r="G10" s="111"/>
      <c r="H10" s="111"/>
      <c r="I10" s="41"/>
      <c r="J10" s="112"/>
      <c r="K10" s="113"/>
    </row>
    <row r="11" spans="1:11" ht="15.75">
      <c r="A11" s="50"/>
      <c r="B11" s="33" t="s">
        <v>80</v>
      </c>
      <c r="C11" s="38"/>
      <c r="D11" s="111"/>
      <c r="E11" s="111" t="s">
        <v>272</v>
      </c>
      <c r="F11" s="111"/>
      <c r="G11" s="111"/>
      <c r="H11" s="111"/>
      <c r="I11" s="41"/>
      <c r="J11" s="112">
        <v>240</v>
      </c>
      <c r="K11" s="113" t="s">
        <v>74</v>
      </c>
    </row>
    <row r="12" spans="1:11" ht="15.75">
      <c r="A12" s="50"/>
      <c r="B12" s="33" t="s">
        <v>266</v>
      </c>
      <c r="C12" s="38"/>
      <c r="D12" s="111"/>
      <c r="E12" s="111" t="s">
        <v>273</v>
      </c>
      <c r="F12" s="111"/>
      <c r="G12" s="111"/>
      <c r="H12" s="111"/>
      <c r="I12" s="41"/>
      <c r="J12" s="112">
        <v>60</v>
      </c>
      <c r="K12" s="113" t="s">
        <v>74</v>
      </c>
    </row>
    <row r="13" spans="1:11" ht="15.75">
      <c r="A13" s="50"/>
      <c r="B13" s="33" t="s">
        <v>76</v>
      </c>
      <c r="C13" s="38"/>
      <c r="D13" s="111"/>
      <c r="E13" s="111" t="s">
        <v>274</v>
      </c>
      <c r="F13" s="111"/>
      <c r="G13" s="111"/>
      <c r="H13" s="111"/>
      <c r="I13" s="41"/>
      <c r="J13" s="112">
        <v>58</v>
      </c>
      <c r="K13" s="113" t="s">
        <v>74</v>
      </c>
    </row>
    <row r="14" spans="1:11" ht="15.75">
      <c r="A14" s="50"/>
      <c r="B14" s="33" t="s">
        <v>267</v>
      </c>
      <c r="C14" s="38"/>
      <c r="D14" s="111"/>
      <c r="E14" s="111" t="s">
        <v>275</v>
      </c>
      <c r="F14" s="111"/>
      <c r="G14" s="111"/>
      <c r="H14" s="111"/>
      <c r="I14" s="41"/>
      <c r="J14" s="112">
        <v>31</v>
      </c>
      <c r="K14" s="113" t="s">
        <v>74</v>
      </c>
    </row>
    <row r="15" spans="1:11" ht="15.75">
      <c r="A15" s="50"/>
      <c r="B15" s="33" t="s">
        <v>268</v>
      </c>
      <c r="C15" s="38"/>
      <c r="D15" s="111"/>
      <c r="E15" s="111" t="s">
        <v>276</v>
      </c>
      <c r="F15" s="111"/>
      <c r="G15" s="111"/>
      <c r="H15" s="111"/>
      <c r="I15" s="41"/>
      <c r="J15" s="112">
        <v>376</v>
      </c>
      <c r="K15" s="113" t="s">
        <v>74</v>
      </c>
    </row>
    <row r="16" spans="1:11" ht="15.75">
      <c r="A16" s="50"/>
      <c r="B16" s="33" t="s">
        <v>269</v>
      </c>
      <c r="C16" s="38"/>
      <c r="D16" s="111"/>
      <c r="E16" s="111" t="s">
        <v>277</v>
      </c>
      <c r="F16" s="111"/>
      <c r="G16" s="111"/>
      <c r="H16" s="111"/>
      <c r="I16" s="41"/>
      <c r="J16" s="112">
        <v>20</v>
      </c>
      <c r="K16" s="113" t="s">
        <v>74</v>
      </c>
    </row>
    <row r="17" spans="1:12" ht="15.75">
      <c r="A17" s="50"/>
      <c r="B17" s="33" t="s">
        <v>76</v>
      </c>
      <c r="C17" s="38"/>
      <c r="D17" s="111"/>
      <c r="E17" s="111" t="s">
        <v>278</v>
      </c>
      <c r="F17" s="111"/>
      <c r="G17" s="111"/>
      <c r="H17" s="111"/>
      <c r="I17" s="41"/>
      <c r="J17" s="112">
        <v>26</v>
      </c>
      <c r="K17" s="113" t="s">
        <v>74</v>
      </c>
    </row>
    <row r="18" spans="1:12" ht="15.75">
      <c r="A18" s="50"/>
      <c r="B18" s="33" t="s">
        <v>270</v>
      </c>
      <c r="C18" s="38"/>
      <c r="D18" s="111"/>
      <c r="E18" s="111" t="s">
        <v>279</v>
      </c>
      <c r="F18" s="111"/>
      <c r="G18" s="111"/>
      <c r="H18" s="111"/>
      <c r="I18" s="41"/>
      <c r="J18" s="112">
        <v>24</v>
      </c>
      <c r="K18" s="113" t="s">
        <v>74</v>
      </c>
    </row>
    <row r="19" spans="1:12" ht="15.75">
      <c r="A19" s="50"/>
      <c r="B19" s="33" t="s">
        <v>271</v>
      </c>
      <c r="C19" s="38"/>
      <c r="D19" s="111"/>
      <c r="E19" s="111" t="s">
        <v>280</v>
      </c>
      <c r="F19" s="111"/>
      <c r="G19" s="111"/>
      <c r="H19" s="111"/>
      <c r="I19" s="41"/>
      <c r="J19" s="112">
        <v>330</v>
      </c>
      <c r="K19" s="113" t="s">
        <v>74</v>
      </c>
    </row>
    <row r="20" spans="1:12" ht="15.75">
      <c r="A20" s="50"/>
      <c r="B20" s="33" t="s">
        <v>76</v>
      </c>
      <c r="C20" s="38"/>
      <c r="D20" s="111"/>
      <c r="E20" s="111" t="s">
        <v>281</v>
      </c>
      <c r="F20" s="111"/>
      <c r="G20" s="111"/>
      <c r="H20" s="111"/>
      <c r="I20" s="41"/>
      <c r="J20" s="112">
        <v>286</v>
      </c>
      <c r="K20" s="113" t="s">
        <v>74</v>
      </c>
    </row>
    <row r="21" spans="1:12" ht="15.75">
      <c r="A21" s="50"/>
      <c r="B21" s="33" t="s">
        <v>80</v>
      </c>
      <c r="C21" s="38"/>
      <c r="D21" s="111"/>
      <c r="E21" s="111" t="s">
        <v>282</v>
      </c>
      <c r="F21" s="111"/>
      <c r="G21" s="111"/>
      <c r="H21" s="111"/>
      <c r="I21" s="41"/>
      <c r="J21" s="112">
        <v>171</v>
      </c>
      <c r="K21" s="113" t="s">
        <v>74</v>
      </c>
    </row>
    <row r="22" spans="1:12" ht="15" customHeight="1">
      <c r="A22" s="50"/>
      <c r="B22" s="33" t="s">
        <v>266</v>
      </c>
      <c r="C22" s="38"/>
      <c r="D22" s="111"/>
      <c r="E22" s="111" t="s">
        <v>283</v>
      </c>
      <c r="F22" s="111"/>
      <c r="G22" s="111"/>
      <c r="H22" s="111"/>
      <c r="I22" s="41"/>
      <c r="J22" s="112">
        <v>45</v>
      </c>
      <c r="K22" s="113" t="s">
        <v>74</v>
      </c>
      <c r="L22" s="13"/>
    </row>
    <row r="23" spans="1:12" ht="15" customHeight="1">
      <c r="A23" s="50"/>
      <c r="B23" s="33" t="s">
        <v>285</v>
      </c>
      <c r="C23" s="38"/>
      <c r="D23" s="111"/>
      <c r="E23" s="111" t="s">
        <v>284</v>
      </c>
      <c r="F23" s="111"/>
      <c r="G23" s="111"/>
      <c r="H23" s="111"/>
      <c r="I23" s="41"/>
      <c r="J23" s="112">
        <v>65</v>
      </c>
      <c r="K23" s="113" t="s">
        <v>74</v>
      </c>
      <c r="L23" s="13"/>
    </row>
    <row r="24" spans="1:12" ht="15" customHeight="1">
      <c r="A24" s="50"/>
      <c r="B24" s="33" t="s">
        <v>268</v>
      </c>
      <c r="C24" s="38"/>
      <c r="D24" s="111"/>
      <c r="E24" s="111" t="s">
        <v>276</v>
      </c>
      <c r="F24" s="111"/>
      <c r="G24" s="111"/>
      <c r="H24" s="111"/>
      <c r="I24" s="41"/>
      <c r="J24" s="112">
        <v>376</v>
      </c>
      <c r="K24" s="113" t="s">
        <v>74</v>
      </c>
      <c r="L24" s="13"/>
    </row>
    <row r="25" spans="1:12" ht="15" customHeight="1">
      <c r="A25" s="50"/>
      <c r="B25" s="33"/>
      <c r="C25" s="38"/>
      <c r="D25" s="111"/>
      <c r="E25" s="111"/>
      <c r="F25" s="111"/>
      <c r="G25" s="111"/>
      <c r="H25" s="111"/>
      <c r="I25" s="41"/>
      <c r="J25" s="114">
        <f>SUM(J11:J24)</f>
        <v>2108</v>
      </c>
      <c r="K25" s="115" t="s">
        <v>74</v>
      </c>
      <c r="L25" s="13"/>
    </row>
    <row r="26" spans="1:12" ht="15" customHeight="1">
      <c r="A26" s="50"/>
      <c r="B26" s="33"/>
      <c r="C26" s="38"/>
      <c r="D26" s="111"/>
      <c r="E26" s="111"/>
      <c r="F26" s="111"/>
      <c r="G26" s="111"/>
      <c r="H26" s="111"/>
      <c r="I26" s="41"/>
      <c r="J26" s="112"/>
      <c r="K26" s="113"/>
      <c r="L26" s="13"/>
    </row>
    <row r="27" spans="1:12" ht="15" customHeight="1">
      <c r="A27" s="50"/>
      <c r="B27" s="33" t="s">
        <v>286</v>
      </c>
      <c r="C27" s="38"/>
      <c r="D27" s="111"/>
      <c r="E27" s="111"/>
      <c r="F27" s="111"/>
      <c r="G27" s="111"/>
      <c r="H27" s="111"/>
      <c r="I27" s="41"/>
      <c r="J27" s="112"/>
      <c r="K27" s="113"/>
      <c r="L27" s="13"/>
    </row>
    <row r="28" spans="1:12" ht="15" customHeight="1">
      <c r="A28" s="50"/>
      <c r="B28" s="33" t="s">
        <v>80</v>
      </c>
      <c r="C28" s="38"/>
      <c r="D28" s="111"/>
      <c r="E28" s="111" t="s">
        <v>287</v>
      </c>
      <c r="F28" s="111"/>
      <c r="G28" s="111"/>
      <c r="H28" s="111"/>
      <c r="I28" s="41"/>
      <c r="J28" s="112">
        <v>162</v>
      </c>
      <c r="K28" s="113" t="s">
        <v>74</v>
      </c>
      <c r="L28" s="13"/>
    </row>
    <row r="29" spans="1:12" ht="15" customHeight="1">
      <c r="A29" s="50"/>
      <c r="B29" s="33" t="s">
        <v>266</v>
      </c>
      <c r="C29" s="38"/>
      <c r="D29" s="111"/>
      <c r="E29" s="111" t="s">
        <v>288</v>
      </c>
      <c r="F29" s="111"/>
      <c r="G29" s="111"/>
      <c r="H29" s="111"/>
      <c r="I29" s="41"/>
      <c r="J29" s="112">
        <v>80</v>
      </c>
      <c r="K29" s="113" t="s">
        <v>74</v>
      </c>
      <c r="L29" s="13"/>
    </row>
    <row r="30" spans="1:12" ht="15" customHeight="1">
      <c r="A30" s="50"/>
      <c r="B30" s="33" t="s">
        <v>76</v>
      </c>
      <c r="C30" s="38"/>
      <c r="D30" s="111"/>
      <c r="E30" s="111" t="s">
        <v>289</v>
      </c>
      <c r="F30" s="111"/>
      <c r="G30" s="111"/>
      <c r="H30" s="111"/>
      <c r="I30" s="41"/>
      <c r="J30" s="112">
        <v>59</v>
      </c>
      <c r="K30" s="113" t="s">
        <v>74</v>
      </c>
      <c r="L30" s="13"/>
    </row>
    <row r="31" spans="1:12" ht="15" customHeight="1">
      <c r="A31" s="50"/>
      <c r="B31" s="33" t="s">
        <v>267</v>
      </c>
      <c r="C31" s="38"/>
      <c r="D31" s="111"/>
      <c r="E31" s="111" t="s">
        <v>290</v>
      </c>
      <c r="F31" s="111"/>
      <c r="G31" s="111"/>
      <c r="H31" s="111"/>
      <c r="I31" s="41"/>
      <c r="J31" s="112">
        <v>46</v>
      </c>
      <c r="K31" s="113" t="s">
        <v>74</v>
      </c>
      <c r="L31" s="13"/>
    </row>
    <row r="32" spans="1:12" ht="15" customHeight="1">
      <c r="A32" s="50"/>
      <c r="B32" s="33" t="s">
        <v>268</v>
      </c>
      <c r="C32" s="38"/>
      <c r="D32" s="111"/>
      <c r="E32" s="111" t="s">
        <v>291</v>
      </c>
      <c r="F32" s="111"/>
      <c r="G32" s="111"/>
      <c r="H32" s="111"/>
      <c r="I32" s="41"/>
      <c r="J32" s="112">
        <v>180</v>
      </c>
      <c r="K32" s="113" t="s">
        <v>74</v>
      </c>
      <c r="L32" s="13"/>
    </row>
    <row r="33" spans="1:12" ht="15" customHeight="1">
      <c r="A33" s="50"/>
      <c r="B33" s="33" t="s">
        <v>269</v>
      </c>
      <c r="C33" s="38"/>
      <c r="D33" s="111"/>
      <c r="E33" s="111" t="s">
        <v>292</v>
      </c>
      <c r="F33" s="111"/>
      <c r="G33" s="111"/>
      <c r="H33" s="111"/>
      <c r="I33" s="41"/>
      <c r="J33" s="112">
        <v>61</v>
      </c>
      <c r="K33" s="113" t="s">
        <v>74</v>
      </c>
      <c r="L33" s="13"/>
    </row>
    <row r="34" spans="1:12" ht="15" customHeight="1">
      <c r="A34" s="50"/>
      <c r="B34" s="33" t="s">
        <v>76</v>
      </c>
      <c r="C34" s="38"/>
      <c r="D34" s="111"/>
      <c r="E34" s="111" t="s">
        <v>293</v>
      </c>
      <c r="F34" s="111"/>
      <c r="G34" s="111"/>
      <c r="H34" s="111"/>
      <c r="I34" s="41"/>
      <c r="J34" s="112">
        <v>64</v>
      </c>
      <c r="K34" s="113" t="s">
        <v>74</v>
      </c>
      <c r="L34" s="13"/>
    </row>
    <row r="35" spans="1:12" ht="15" customHeight="1">
      <c r="A35" s="50"/>
      <c r="B35" s="33" t="s">
        <v>270</v>
      </c>
      <c r="C35" s="38"/>
      <c r="D35" s="111"/>
      <c r="E35" s="111" t="s">
        <v>294</v>
      </c>
      <c r="F35" s="111"/>
      <c r="G35" s="111"/>
      <c r="H35" s="111"/>
      <c r="I35" s="41"/>
      <c r="J35" s="112">
        <v>156</v>
      </c>
      <c r="K35" s="113" t="s">
        <v>74</v>
      </c>
      <c r="L35" s="13"/>
    </row>
    <row r="36" spans="1:12" ht="15" customHeight="1">
      <c r="A36" s="50"/>
      <c r="B36" s="33" t="s">
        <v>271</v>
      </c>
      <c r="C36" s="38"/>
      <c r="D36" s="111"/>
      <c r="E36" s="111" t="s">
        <v>295</v>
      </c>
      <c r="F36" s="111"/>
      <c r="G36" s="111"/>
      <c r="H36" s="111"/>
      <c r="I36" s="41"/>
      <c r="J36" s="112">
        <v>96</v>
      </c>
      <c r="K36" s="113" t="s">
        <v>74</v>
      </c>
      <c r="L36" s="13"/>
    </row>
    <row r="37" spans="1:12" ht="15" customHeight="1">
      <c r="A37" s="50"/>
      <c r="B37" s="33" t="s">
        <v>76</v>
      </c>
      <c r="C37" s="38"/>
      <c r="D37" s="111"/>
      <c r="E37" s="111" t="s">
        <v>296</v>
      </c>
      <c r="F37" s="111"/>
      <c r="G37" s="111"/>
      <c r="H37" s="111"/>
      <c r="I37" s="41"/>
      <c r="J37" s="112">
        <v>70</v>
      </c>
      <c r="K37" s="113" t="s">
        <v>74</v>
      </c>
      <c r="L37" s="13"/>
    </row>
    <row r="38" spans="1:12" ht="15" customHeight="1">
      <c r="A38" s="50"/>
      <c r="B38" s="33" t="s">
        <v>80</v>
      </c>
      <c r="C38" s="38"/>
      <c r="D38" s="111"/>
      <c r="E38" s="111" t="s">
        <v>291</v>
      </c>
      <c r="F38" s="111"/>
      <c r="G38" s="111"/>
      <c r="H38" s="111"/>
      <c r="I38" s="41"/>
      <c r="J38" s="112">
        <v>180</v>
      </c>
      <c r="K38" s="113" t="s">
        <v>74</v>
      </c>
      <c r="L38" s="13"/>
    </row>
    <row r="39" spans="1:12" ht="15" customHeight="1">
      <c r="A39" s="50"/>
      <c r="B39" s="33"/>
      <c r="C39" s="38"/>
      <c r="D39" s="111"/>
      <c r="E39" s="111"/>
      <c r="F39" s="111"/>
      <c r="G39" s="111"/>
      <c r="H39" s="111"/>
      <c r="I39" s="41"/>
      <c r="J39" s="114">
        <f>SUM(J28:J38)</f>
        <v>1154</v>
      </c>
      <c r="K39" s="115" t="s">
        <v>74</v>
      </c>
      <c r="L39" s="13"/>
    </row>
    <row r="40" spans="1:12" ht="15" customHeight="1">
      <c r="A40" s="50"/>
      <c r="B40" s="33"/>
      <c r="C40" s="38"/>
      <c r="D40" s="111"/>
      <c r="E40" s="111"/>
      <c r="F40" s="111"/>
      <c r="G40" s="111"/>
      <c r="H40" s="111"/>
      <c r="I40" s="41"/>
      <c r="J40" s="112"/>
      <c r="K40" s="113"/>
      <c r="L40" s="13"/>
    </row>
    <row r="41" spans="1:12" ht="15" customHeight="1">
      <c r="A41" s="50"/>
      <c r="B41" s="33" t="s">
        <v>297</v>
      </c>
      <c r="C41" s="38"/>
      <c r="D41" s="111"/>
      <c r="E41" s="111"/>
      <c r="F41" s="111"/>
      <c r="G41" s="111"/>
      <c r="H41" s="111"/>
      <c r="I41" s="41"/>
      <c r="J41" s="112"/>
      <c r="K41" s="113"/>
      <c r="L41" s="13"/>
    </row>
    <row r="42" spans="1:12" ht="15" customHeight="1">
      <c r="A42" s="50"/>
      <c r="B42" s="33" t="s">
        <v>80</v>
      </c>
      <c r="C42" s="38"/>
      <c r="D42" s="111"/>
      <c r="E42" s="111" t="s">
        <v>298</v>
      </c>
      <c r="F42" s="111"/>
      <c r="G42" s="111"/>
      <c r="H42" s="111"/>
      <c r="I42" s="41"/>
      <c r="J42" s="112">
        <v>213</v>
      </c>
      <c r="K42" s="113" t="s">
        <v>74</v>
      </c>
      <c r="L42" s="13"/>
    </row>
    <row r="43" spans="1:12" ht="15" customHeight="1">
      <c r="A43" s="50"/>
      <c r="B43" s="33" t="s">
        <v>266</v>
      </c>
      <c r="C43" s="38"/>
      <c r="D43" s="111"/>
      <c r="E43" s="111" t="s">
        <v>299</v>
      </c>
      <c r="F43" s="111"/>
      <c r="G43" s="111"/>
      <c r="H43" s="111"/>
      <c r="I43" s="41"/>
      <c r="J43" s="112">
        <v>68</v>
      </c>
      <c r="K43" s="113" t="s">
        <v>74</v>
      </c>
      <c r="L43" s="13"/>
    </row>
    <row r="44" spans="1:12" ht="15" customHeight="1">
      <c r="A44" s="50"/>
      <c r="B44" s="33" t="s">
        <v>76</v>
      </c>
      <c r="C44" s="38"/>
      <c r="D44" s="111"/>
      <c r="E44" s="111" t="s">
        <v>300</v>
      </c>
      <c r="F44" s="111"/>
      <c r="G44" s="111"/>
      <c r="H44" s="111"/>
      <c r="I44" s="41"/>
      <c r="J44" s="112">
        <v>27</v>
      </c>
      <c r="K44" s="113" t="s">
        <v>74</v>
      </c>
      <c r="L44" s="13"/>
    </row>
    <row r="45" spans="1:12" ht="15" customHeight="1">
      <c r="A45" s="50"/>
      <c r="B45" s="33" t="s">
        <v>308</v>
      </c>
      <c r="C45" s="38"/>
      <c r="D45" s="111"/>
      <c r="E45" s="111" t="s">
        <v>301</v>
      </c>
      <c r="F45" s="111"/>
      <c r="G45" s="111"/>
      <c r="H45" s="111"/>
      <c r="I45" s="41"/>
      <c r="J45" s="112">
        <v>19</v>
      </c>
      <c r="K45" s="113" t="s">
        <v>74</v>
      </c>
      <c r="L45" s="13"/>
    </row>
    <row r="46" spans="1:12" ht="15" customHeight="1">
      <c r="A46" s="50"/>
      <c r="B46" s="33" t="s">
        <v>309</v>
      </c>
      <c r="C46" s="38"/>
      <c r="D46" s="111"/>
      <c r="E46" s="111" t="s">
        <v>302</v>
      </c>
      <c r="F46" s="111"/>
      <c r="G46" s="111"/>
      <c r="H46" s="111"/>
      <c r="I46" s="41"/>
      <c r="J46" s="112">
        <v>48</v>
      </c>
      <c r="K46" s="113" t="s">
        <v>74</v>
      </c>
      <c r="L46" s="13"/>
    </row>
    <row r="47" spans="1:12" ht="15" customHeight="1">
      <c r="A47" s="50"/>
      <c r="B47" s="33" t="s">
        <v>270</v>
      </c>
      <c r="C47" s="38"/>
      <c r="D47" s="111"/>
      <c r="E47" s="111" t="s">
        <v>303</v>
      </c>
      <c r="F47" s="111"/>
      <c r="G47" s="111"/>
      <c r="H47" s="111"/>
      <c r="I47" s="41"/>
      <c r="J47" s="112">
        <v>22</v>
      </c>
      <c r="K47" s="113" t="s">
        <v>74</v>
      </c>
      <c r="L47" s="13"/>
    </row>
    <row r="48" spans="1:12" ht="15" customHeight="1">
      <c r="A48" s="50"/>
      <c r="B48" s="33" t="s">
        <v>80</v>
      </c>
      <c r="C48" s="38"/>
      <c r="D48" s="111"/>
      <c r="E48" s="111" t="s">
        <v>304</v>
      </c>
      <c r="F48" s="111"/>
      <c r="G48" s="111"/>
      <c r="H48" s="111"/>
      <c r="I48" s="41"/>
      <c r="J48" s="112">
        <v>179</v>
      </c>
      <c r="K48" s="113" t="s">
        <v>74</v>
      </c>
      <c r="L48" s="13"/>
    </row>
    <row r="49" spans="1:12" ht="15" customHeight="1">
      <c r="A49" s="50"/>
      <c r="B49" s="33" t="s">
        <v>266</v>
      </c>
      <c r="C49" s="38"/>
      <c r="D49" s="111"/>
      <c r="E49" s="111" t="s">
        <v>305</v>
      </c>
      <c r="F49" s="111"/>
      <c r="G49" s="111"/>
      <c r="H49" s="111"/>
      <c r="I49" s="41"/>
      <c r="J49" s="112">
        <v>16</v>
      </c>
      <c r="K49" s="113" t="s">
        <v>74</v>
      </c>
      <c r="L49" s="13"/>
    </row>
    <row r="50" spans="1:12" ht="15" customHeight="1">
      <c r="A50" s="50"/>
      <c r="B50" s="33" t="s">
        <v>76</v>
      </c>
      <c r="C50" s="38"/>
      <c r="D50" s="111"/>
      <c r="E50" s="111" t="s">
        <v>306</v>
      </c>
      <c r="F50" s="111"/>
      <c r="G50" s="111"/>
      <c r="H50" s="111"/>
      <c r="I50" s="41"/>
      <c r="J50" s="112">
        <v>13</v>
      </c>
      <c r="K50" s="113" t="s">
        <v>74</v>
      </c>
      <c r="L50" s="13"/>
    </row>
    <row r="51" spans="1:12" ht="15" customHeight="1">
      <c r="A51" s="50"/>
      <c r="B51" s="33" t="s">
        <v>268</v>
      </c>
      <c r="C51" s="38"/>
      <c r="D51" s="111"/>
      <c r="E51" s="111" t="s">
        <v>307</v>
      </c>
      <c r="F51" s="111"/>
      <c r="G51" s="111"/>
      <c r="H51" s="111"/>
      <c r="I51" s="41"/>
      <c r="J51" s="112">
        <v>147</v>
      </c>
      <c r="K51" s="113" t="s">
        <v>74</v>
      </c>
      <c r="L51" s="13"/>
    </row>
    <row r="52" spans="1:12" ht="15" customHeight="1">
      <c r="A52" s="50"/>
      <c r="B52" s="33"/>
      <c r="C52" s="38"/>
      <c r="D52" s="111"/>
      <c r="E52" s="111"/>
      <c r="F52" s="111"/>
      <c r="G52" s="111"/>
      <c r="H52" s="111"/>
      <c r="I52" s="41"/>
      <c r="J52" s="114">
        <f>SUM(J42:J51)</f>
        <v>752</v>
      </c>
      <c r="K52" s="115" t="s">
        <v>74</v>
      </c>
      <c r="L52" s="13"/>
    </row>
    <row r="53" spans="1:12" ht="15" customHeight="1">
      <c r="A53" s="50"/>
      <c r="B53" s="33"/>
      <c r="C53" s="38"/>
      <c r="D53" s="111"/>
      <c r="E53" s="111"/>
      <c r="F53" s="111"/>
      <c r="G53" s="111"/>
      <c r="H53" s="111"/>
      <c r="I53" s="41"/>
      <c r="J53" s="114"/>
      <c r="K53" s="115"/>
      <c r="L53" s="13"/>
    </row>
    <row r="54" spans="1:12" ht="15" customHeight="1">
      <c r="A54" s="50"/>
      <c r="B54" s="33"/>
      <c r="C54" s="38"/>
      <c r="D54" s="111"/>
      <c r="E54" s="111" t="s">
        <v>310</v>
      </c>
      <c r="F54" s="111"/>
      <c r="G54" s="111"/>
      <c r="H54" s="111"/>
      <c r="I54" s="41"/>
      <c r="J54" s="114">
        <f>J52+J39+J25</f>
        <v>4014</v>
      </c>
      <c r="K54" s="115" t="s">
        <v>74</v>
      </c>
      <c r="L54" s="13"/>
    </row>
    <row r="55" spans="1:12" ht="15" customHeight="1">
      <c r="A55" s="50"/>
      <c r="B55" s="33"/>
      <c r="C55" s="38"/>
      <c r="D55" s="111"/>
      <c r="E55" s="111"/>
      <c r="F55" s="111"/>
      <c r="G55" s="111"/>
      <c r="H55" s="111"/>
      <c r="I55" s="41"/>
      <c r="J55" s="114"/>
      <c r="K55" s="115"/>
      <c r="L55" s="13"/>
    </row>
    <row r="56" spans="1:12" ht="15" customHeight="1">
      <c r="A56" s="50"/>
      <c r="B56" s="33" t="s">
        <v>311</v>
      </c>
      <c r="C56" s="38"/>
      <c r="D56" s="111"/>
      <c r="E56" s="111" t="s">
        <v>313</v>
      </c>
      <c r="F56" s="111"/>
      <c r="G56" s="111"/>
      <c r="H56" s="111"/>
      <c r="I56" s="41"/>
      <c r="J56" s="112">
        <v>52</v>
      </c>
      <c r="K56" s="113" t="s">
        <v>74</v>
      </c>
      <c r="L56" s="13"/>
    </row>
    <row r="57" spans="1:12" ht="15" customHeight="1">
      <c r="A57" s="50"/>
      <c r="B57" s="33" t="s">
        <v>312</v>
      </c>
      <c r="C57" s="38"/>
      <c r="D57" s="111"/>
      <c r="E57" s="111" t="s">
        <v>314</v>
      </c>
      <c r="F57" s="111"/>
      <c r="G57" s="111"/>
      <c r="H57" s="111"/>
      <c r="I57" s="41"/>
      <c r="J57" s="112">
        <v>56</v>
      </c>
      <c r="K57" s="113" t="s">
        <v>74</v>
      </c>
      <c r="L57" s="13"/>
    </row>
    <row r="58" spans="1:12" ht="15" customHeight="1">
      <c r="A58" s="50"/>
      <c r="B58" s="33"/>
      <c r="C58" s="38"/>
      <c r="D58" s="111"/>
      <c r="E58" s="111"/>
      <c r="F58" s="111"/>
      <c r="G58" s="111"/>
      <c r="H58" s="111"/>
      <c r="I58" s="41"/>
      <c r="J58" s="114">
        <f>SUM(J56:J57)</f>
        <v>108</v>
      </c>
      <c r="K58" s="115" t="s">
        <v>74</v>
      </c>
      <c r="L58" s="13"/>
    </row>
    <row r="59" spans="1:12" ht="15" customHeight="1">
      <c r="A59" s="50"/>
      <c r="B59" s="33"/>
      <c r="C59" s="38"/>
      <c r="D59" s="111"/>
      <c r="E59" s="111"/>
      <c r="F59" s="111"/>
      <c r="G59" s="111"/>
      <c r="H59" s="111"/>
      <c r="I59" s="41"/>
      <c r="J59" s="114"/>
      <c r="K59" s="115"/>
      <c r="L59" s="13"/>
    </row>
    <row r="60" spans="1:12" ht="15" customHeight="1">
      <c r="A60" s="50"/>
      <c r="B60" s="33"/>
      <c r="C60" s="38"/>
      <c r="D60" s="111"/>
      <c r="E60" s="111"/>
      <c r="F60" s="111"/>
      <c r="G60" s="111"/>
      <c r="H60" s="111"/>
      <c r="I60" s="41"/>
      <c r="J60" s="114">
        <f>J54-J58</f>
        <v>3906</v>
      </c>
      <c r="K60" s="115" t="s">
        <v>74</v>
      </c>
      <c r="L60" s="13"/>
    </row>
    <row r="61" spans="1:12" ht="15" customHeight="1">
      <c r="A61" s="50"/>
      <c r="B61" s="33"/>
      <c r="C61" s="38"/>
      <c r="D61" s="111"/>
      <c r="E61" s="111"/>
      <c r="F61" s="111"/>
      <c r="G61" s="111"/>
      <c r="H61" s="111"/>
      <c r="I61" s="41"/>
      <c r="J61" s="114"/>
      <c r="K61" s="115"/>
      <c r="L61" s="13"/>
    </row>
    <row r="62" spans="1:12" ht="15" customHeight="1">
      <c r="A62" s="50">
        <v>2</v>
      </c>
      <c r="B62" s="35" t="s">
        <v>75</v>
      </c>
      <c r="C62" s="38"/>
      <c r="D62" s="111"/>
      <c r="E62" s="111"/>
      <c r="F62" s="111"/>
      <c r="G62" s="111"/>
      <c r="H62" s="111"/>
      <c r="I62" s="41"/>
      <c r="J62" s="112"/>
      <c r="K62" s="113"/>
      <c r="L62" s="13"/>
    </row>
    <row r="63" spans="1:12" ht="15" customHeight="1">
      <c r="A63" s="50"/>
      <c r="B63" s="33" t="s">
        <v>265</v>
      </c>
      <c r="C63" s="38"/>
      <c r="D63" s="111"/>
      <c r="E63" s="111"/>
      <c r="F63" s="111"/>
      <c r="G63" s="111"/>
      <c r="H63" s="111"/>
      <c r="I63" s="41"/>
      <c r="J63" s="114"/>
      <c r="K63" s="115"/>
      <c r="L63" s="13"/>
    </row>
    <row r="64" spans="1:12" ht="15" customHeight="1">
      <c r="A64" s="50"/>
      <c r="B64" s="33" t="s">
        <v>315</v>
      </c>
      <c r="C64" s="38"/>
      <c r="D64" s="111"/>
      <c r="E64" s="111" t="s">
        <v>316</v>
      </c>
      <c r="F64" s="111"/>
      <c r="G64" s="111"/>
      <c r="H64" s="111"/>
      <c r="I64" s="41"/>
      <c r="J64" s="112">
        <v>216</v>
      </c>
      <c r="K64" s="113" t="s">
        <v>74</v>
      </c>
      <c r="L64" s="13"/>
    </row>
    <row r="65" spans="1:12" ht="15" customHeight="1">
      <c r="A65" s="50"/>
      <c r="B65" s="33" t="s">
        <v>76</v>
      </c>
      <c r="C65" s="38"/>
      <c r="D65" s="111"/>
      <c r="E65" s="111" t="s">
        <v>317</v>
      </c>
      <c r="F65" s="111"/>
      <c r="G65" s="111"/>
      <c r="H65" s="111"/>
      <c r="I65" s="41"/>
      <c r="J65" s="112">
        <v>204</v>
      </c>
      <c r="K65" s="113" t="s">
        <v>74</v>
      </c>
      <c r="L65" s="13"/>
    </row>
    <row r="66" spans="1:12" ht="15" customHeight="1">
      <c r="A66" s="50"/>
      <c r="B66" s="33" t="s">
        <v>76</v>
      </c>
      <c r="C66" s="38"/>
      <c r="D66" s="111"/>
      <c r="E66" s="111" t="s">
        <v>316</v>
      </c>
      <c r="F66" s="111"/>
      <c r="G66" s="111"/>
      <c r="H66" s="111"/>
      <c r="I66" s="41"/>
      <c r="J66" s="112">
        <v>154</v>
      </c>
      <c r="K66" s="113" t="s">
        <v>74</v>
      </c>
      <c r="L66" s="13"/>
    </row>
    <row r="67" spans="1:12" ht="15" customHeight="1">
      <c r="A67" s="50"/>
      <c r="B67" s="33" t="s">
        <v>76</v>
      </c>
      <c r="C67" s="38"/>
      <c r="D67" s="111"/>
      <c r="E67" s="111" t="s">
        <v>318</v>
      </c>
      <c r="F67" s="111"/>
      <c r="G67" s="111"/>
      <c r="H67" s="111"/>
      <c r="I67" s="41"/>
      <c r="J67" s="112">
        <v>145</v>
      </c>
      <c r="K67" s="113" t="s">
        <v>74</v>
      </c>
      <c r="L67" s="13"/>
    </row>
    <row r="68" spans="1:12" ht="15" customHeight="1">
      <c r="A68" s="50"/>
      <c r="B68" s="33"/>
      <c r="C68" s="38"/>
      <c r="D68" s="111"/>
      <c r="E68" s="111" t="s">
        <v>319</v>
      </c>
      <c r="F68" s="111"/>
      <c r="G68" s="111"/>
      <c r="H68" s="111"/>
      <c r="I68" s="41"/>
      <c r="J68" s="112">
        <v>54</v>
      </c>
      <c r="K68" s="113" t="s">
        <v>74</v>
      </c>
      <c r="L68" s="13"/>
    </row>
    <row r="69" spans="1:12" ht="15" customHeight="1">
      <c r="A69" s="50"/>
      <c r="B69" s="33" t="s">
        <v>320</v>
      </c>
      <c r="C69" s="38"/>
      <c r="D69" s="111"/>
      <c r="E69" s="111"/>
      <c r="F69" s="111"/>
      <c r="G69" s="111"/>
      <c r="H69" s="111"/>
      <c r="I69" s="41"/>
      <c r="J69" s="112"/>
      <c r="K69" s="113"/>
      <c r="L69" s="13"/>
    </row>
    <row r="70" spans="1:12" ht="15" customHeight="1">
      <c r="A70" s="50"/>
      <c r="B70" s="33" t="s">
        <v>315</v>
      </c>
      <c r="C70" s="38"/>
      <c r="D70" s="111"/>
      <c r="E70" s="111" t="s">
        <v>321</v>
      </c>
      <c r="F70" s="111"/>
      <c r="G70" s="111"/>
      <c r="H70" s="111"/>
      <c r="I70" s="41"/>
      <c r="J70" s="112">
        <v>96</v>
      </c>
      <c r="K70" s="113" t="s">
        <v>74</v>
      </c>
      <c r="L70" s="13"/>
    </row>
    <row r="71" spans="1:12" ht="15" customHeight="1">
      <c r="A71" s="50"/>
      <c r="B71" s="33" t="s">
        <v>76</v>
      </c>
      <c r="C71" s="38"/>
      <c r="D71" s="111"/>
      <c r="E71" s="111" t="s">
        <v>322</v>
      </c>
      <c r="F71" s="111"/>
      <c r="G71" s="111"/>
      <c r="H71" s="111"/>
      <c r="I71" s="41"/>
      <c r="J71" s="112">
        <v>38</v>
      </c>
      <c r="K71" s="113" t="s">
        <v>74</v>
      </c>
      <c r="L71" s="13"/>
    </row>
    <row r="72" spans="1:12" ht="15" customHeight="1">
      <c r="A72" s="50"/>
      <c r="B72" s="33" t="s">
        <v>76</v>
      </c>
      <c r="C72" s="38"/>
      <c r="D72" s="111"/>
      <c r="E72" s="111" t="s">
        <v>323</v>
      </c>
      <c r="F72" s="111"/>
      <c r="G72" s="111"/>
      <c r="H72" s="111"/>
      <c r="I72" s="41"/>
      <c r="J72" s="112">
        <v>52</v>
      </c>
      <c r="K72" s="113" t="s">
        <v>74</v>
      </c>
      <c r="L72" s="13"/>
    </row>
    <row r="73" spans="1:12" ht="15" customHeight="1">
      <c r="A73" s="50"/>
      <c r="B73" s="33" t="s">
        <v>76</v>
      </c>
      <c r="C73" s="38"/>
      <c r="D73" s="111"/>
      <c r="E73" s="111" t="s">
        <v>324</v>
      </c>
      <c r="F73" s="111"/>
      <c r="G73" s="111"/>
      <c r="H73" s="111"/>
      <c r="I73" s="41"/>
      <c r="J73" s="112">
        <v>82</v>
      </c>
      <c r="K73" s="113" t="s">
        <v>74</v>
      </c>
      <c r="L73" s="13"/>
    </row>
    <row r="74" spans="1:12" ht="15" customHeight="1">
      <c r="A74" s="50"/>
      <c r="B74" s="33" t="s">
        <v>76</v>
      </c>
      <c r="C74" s="38"/>
      <c r="D74" s="111"/>
      <c r="E74" s="111" t="s">
        <v>325</v>
      </c>
      <c r="F74" s="111"/>
      <c r="G74" s="111"/>
      <c r="H74" s="111"/>
      <c r="I74" s="41"/>
      <c r="J74" s="112">
        <v>65</v>
      </c>
      <c r="K74" s="113" t="s">
        <v>74</v>
      </c>
      <c r="L74" s="13"/>
    </row>
    <row r="75" spans="1:12" ht="15" customHeight="1">
      <c r="A75" s="50"/>
      <c r="B75" s="33"/>
      <c r="C75" s="38"/>
      <c r="D75" s="111"/>
      <c r="E75" s="111"/>
      <c r="F75" s="111"/>
      <c r="G75" s="111"/>
      <c r="H75" s="111"/>
      <c r="I75" s="41"/>
      <c r="J75" s="114">
        <f>SUM(J64:J74)</f>
        <v>1106</v>
      </c>
      <c r="K75" s="115" t="s">
        <v>74</v>
      </c>
      <c r="L75" s="13"/>
    </row>
    <row r="76" spans="1:12" ht="15" customHeight="1">
      <c r="A76" s="50"/>
      <c r="B76" s="33" t="s">
        <v>64</v>
      </c>
      <c r="C76" s="38"/>
      <c r="D76" s="111"/>
      <c r="E76" s="111"/>
      <c r="F76" s="111"/>
      <c r="G76" s="111"/>
      <c r="H76" s="111"/>
      <c r="I76" s="41"/>
      <c r="J76" s="114"/>
      <c r="K76" s="115"/>
      <c r="L76" s="13"/>
    </row>
    <row r="77" spans="1:12" ht="15" customHeight="1">
      <c r="A77" s="50"/>
      <c r="B77" s="33" t="s">
        <v>326</v>
      </c>
      <c r="C77" s="38"/>
      <c r="D77" s="111"/>
      <c r="E77" s="111" t="s">
        <v>329</v>
      </c>
      <c r="F77" s="111"/>
      <c r="G77" s="111"/>
      <c r="H77" s="111"/>
      <c r="I77" s="41"/>
      <c r="J77" s="112">
        <v>34</v>
      </c>
      <c r="K77" s="113" t="s">
        <v>74</v>
      </c>
      <c r="L77" s="13"/>
    </row>
    <row r="78" spans="1:12" ht="15" customHeight="1">
      <c r="A78" s="50"/>
      <c r="B78" s="33" t="s">
        <v>327</v>
      </c>
      <c r="C78" s="38"/>
      <c r="D78" s="111"/>
      <c r="E78" s="111" t="s">
        <v>330</v>
      </c>
      <c r="F78" s="111"/>
      <c r="G78" s="111"/>
      <c r="H78" s="111"/>
      <c r="I78" s="41"/>
      <c r="J78" s="112">
        <v>36</v>
      </c>
      <c r="K78" s="113" t="s">
        <v>74</v>
      </c>
      <c r="L78" s="13"/>
    </row>
    <row r="79" spans="1:12" ht="15" customHeight="1">
      <c r="A79" s="50"/>
      <c r="B79" s="33" t="s">
        <v>327</v>
      </c>
      <c r="C79" s="38"/>
      <c r="D79" s="111"/>
      <c r="E79" s="111" t="s">
        <v>331</v>
      </c>
      <c r="F79" s="111"/>
      <c r="G79" s="111"/>
      <c r="H79" s="111"/>
      <c r="I79" s="41"/>
      <c r="J79" s="112">
        <v>30</v>
      </c>
      <c r="K79" s="113" t="s">
        <v>74</v>
      </c>
      <c r="L79" s="13"/>
    </row>
    <row r="80" spans="1:12" ht="15" customHeight="1">
      <c r="A80" s="50"/>
      <c r="B80" s="33" t="s">
        <v>328</v>
      </c>
      <c r="C80" s="38"/>
      <c r="D80" s="111"/>
      <c r="E80" s="111" t="s">
        <v>332</v>
      </c>
      <c r="F80" s="111"/>
      <c r="G80" s="111"/>
      <c r="H80" s="111"/>
      <c r="I80" s="41"/>
      <c r="J80" s="112">
        <v>48</v>
      </c>
      <c r="K80" s="113" t="s">
        <v>74</v>
      </c>
      <c r="L80" s="13"/>
    </row>
    <row r="81" spans="1:12" ht="15" customHeight="1">
      <c r="A81" s="50"/>
      <c r="B81" s="33"/>
      <c r="C81" s="38"/>
      <c r="D81" s="111"/>
      <c r="E81" s="111"/>
      <c r="F81" s="111"/>
      <c r="G81" s="111"/>
      <c r="H81" s="111"/>
      <c r="I81" s="41"/>
      <c r="J81" s="114">
        <f>SUM(J77:J80)</f>
        <v>148</v>
      </c>
      <c r="K81" s="115" t="s">
        <v>74</v>
      </c>
      <c r="L81" s="13"/>
    </row>
    <row r="82" spans="1:12" ht="15" customHeight="1">
      <c r="A82" s="50"/>
      <c r="B82" s="33"/>
      <c r="C82" s="38"/>
      <c r="D82" s="111"/>
      <c r="E82" s="111"/>
      <c r="F82" s="111"/>
      <c r="G82" s="111"/>
      <c r="H82" s="111"/>
      <c r="I82" s="41"/>
      <c r="J82" s="114"/>
      <c r="K82" s="115"/>
      <c r="L82" s="13"/>
    </row>
    <row r="83" spans="1:12" ht="15" customHeight="1">
      <c r="A83" s="50"/>
      <c r="B83" s="33"/>
      <c r="C83" s="38"/>
      <c r="D83" s="111"/>
      <c r="E83" s="111"/>
      <c r="F83" s="111"/>
      <c r="G83" s="111"/>
      <c r="H83" s="111"/>
      <c r="I83" s="41"/>
      <c r="J83" s="114">
        <f>J75-J81</f>
        <v>958</v>
      </c>
      <c r="K83" s="115" t="s">
        <v>74</v>
      </c>
      <c r="L83" s="13"/>
    </row>
    <row r="84" spans="1:12" ht="15" customHeight="1">
      <c r="A84" s="50"/>
      <c r="B84" s="33"/>
      <c r="C84" s="38"/>
      <c r="D84" s="111"/>
      <c r="E84" s="111"/>
      <c r="F84" s="111"/>
      <c r="G84" s="111"/>
      <c r="H84" s="111"/>
      <c r="I84" s="41"/>
      <c r="J84" s="114"/>
      <c r="K84" s="115"/>
      <c r="L84" s="13"/>
    </row>
    <row r="85" spans="1:12" ht="15" customHeight="1">
      <c r="A85" s="50">
        <v>3</v>
      </c>
      <c r="B85" s="33" t="s">
        <v>79</v>
      </c>
      <c r="C85" s="38"/>
      <c r="D85" s="111"/>
      <c r="E85" s="111"/>
      <c r="F85" s="111"/>
      <c r="G85" s="111"/>
      <c r="H85" s="111"/>
      <c r="I85" s="41"/>
      <c r="J85" s="112"/>
      <c r="K85" s="113"/>
      <c r="L85" s="13"/>
    </row>
    <row r="86" spans="1:12" ht="15" customHeight="1">
      <c r="A86" s="50"/>
      <c r="B86" s="33"/>
      <c r="C86" s="38"/>
      <c r="D86" s="111"/>
      <c r="E86" s="116" t="s">
        <v>333</v>
      </c>
      <c r="F86" s="111"/>
      <c r="G86" s="111"/>
      <c r="H86" s="111"/>
      <c r="I86" s="41"/>
      <c r="J86" s="112">
        <f>3906*6/112</f>
        <v>209.25</v>
      </c>
      <c r="K86" s="113" t="s">
        <v>131</v>
      </c>
      <c r="L86" s="13"/>
    </row>
    <row r="87" spans="1:12" ht="15" customHeight="1">
      <c r="A87" s="50"/>
      <c r="B87" s="33"/>
      <c r="C87" s="38"/>
      <c r="D87" s="111"/>
      <c r="E87" s="111"/>
      <c r="F87" s="111"/>
      <c r="G87" s="111"/>
      <c r="H87" s="111"/>
      <c r="I87" s="41"/>
      <c r="J87" s="114"/>
      <c r="K87" s="115"/>
      <c r="L87" s="13"/>
    </row>
    <row r="88" spans="1:12" ht="15" customHeight="1">
      <c r="A88" s="50">
        <v>4</v>
      </c>
      <c r="B88" s="33" t="s">
        <v>78</v>
      </c>
      <c r="C88" s="38"/>
      <c r="D88" s="111"/>
      <c r="E88" s="111"/>
      <c r="F88" s="111"/>
      <c r="G88" s="111"/>
      <c r="H88" s="111"/>
      <c r="I88" s="41"/>
      <c r="J88" s="112"/>
      <c r="K88" s="113"/>
      <c r="L88" s="13"/>
    </row>
    <row r="89" spans="1:12" ht="15" customHeight="1">
      <c r="A89" s="50"/>
      <c r="B89" s="33" t="s">
        <v>334</v>
      </c>
      <c r="C89" s="38"/>
      <c r="D89" s="111"/>
      <c r="E89" s="111"/>
      <c r="F89" s="111"/>
      <c r="G89" s="111"/>
      <c r="H89" s="111"/>
      <c r="I89" s="41"/>
      <c r="J89" s="112"/>
      <c r="K89" s="113"/>
      <c r="L89" s="13"/>
    </row>
    <row r="90" spans="1:12" ht="15" customHeight="1">
      <c r="A90" s="50"/>
      <c r="B90" s="33" t="s">
        <v>335</v>
      </c>
      <c r="C90" s="38"/>
      <c r="D90" s="111"/>
      <c r="E90" s="111" t="s">
        <v>336</v>
      </c>
      <c r="F90" s="111"/>
      <c r="G90" s="111"/>
      <c r="H90" s="111"/>
      <c r="I90" s="41"/>
      <c r="J90" s="112">
        <f>1*2*(20+22.5)*9.5</f>
        <v>807.5</v>
      </c>
      <c r="K90" s="113" t="s">
        <v>8</v>
      </c>
      <c r="L90" s="13"/>
    </row>
    <row r="91" spans="1:12" ht="15" customHeight="1">
      <c r="A91" s="50"/>
      <c r="B91" s="33"/>
      <c r="C91" s="38"/>
      <c r="D91" s="111"/>
      <c r="E91" s="111" t="s">
        <v>337</v>
      </c>
      <c r="F91" s="111"/>
      <c r="G91" s="111"/>
      <c r="H91" s="111"/>
      <c r="I91" s="41"/>
      <c r="J91" s="112">
        <v>701</v>
      </c>
      <c r="K91" s="113" t="s">
        <v>8</v>
      </c>
      <c r="L91" s="13"/>
    </row>
    <row r="92" spans="1:12" ht="15" customHeight="1">
      <c r="A92" s="50"/>
      <c r="B92" s="33"/>
      <c r="C92" s="38"/>
      <c r="D92" s="111"/>
      <c r="E92" s="111" t="s">
        <v>338</v>
      </c>
      <c r="F92" s="111"/>
      <c r="G92" s="111"/>
      <c r="H92" s="111"/>
      <c r="I92" s="41"/>
      <c r="J92" s="112">
        <v>1013</v>
      </c>
      <c r="K92" s="113" t="s">
        <v>8</v>
      </c>
      <c r="L92" s="13"/>
    </row>
    <row r="93" spans="1:12" ht="15" customHeight="1">
      <c r="A93" s="50"/>
      <c r="B93" s="33"/>
      <c r="C93" s="38"/>
      <c r="D93" s="111"/>
      <c r="E93" s="111"/>
      <c r="F93" s="111"/>
      <c r="G93" s="111"/>
      <c r="H93" s="111"/>
      <c r="I93" s="41"/>
      <c r="J93" s="112">
        <f>SUM(J90:J92)</f>
        <v>2521.5</v>
      </c>
      <c r="K93" s="113" t="s">
        <v>8</v>
      </c>
      <c r="L93" s="13"/>
    </row>
    <row r="94" spans="1:12" ht="15" customHeight="1">
      <c r="A94" s="50"/>
      <c r="B94" s="33"/>
      <c r="C94" s="38"/>
      <c r="D94" s="111"/>
      <c r="E94" s="111"/>
      <c r="F94" s="111"/>
      <c r="G94" s="111"/>
      <c r="H94" s="111"/>
      <c r="I94" s="41"/>
      <c r="J94" s="112"/>
      <c r="K94" s="113"/>
      <c r="L94" s="13"/>
    </row>
    <row r="95" spans="1:12" ht="15" customHeight="1">
      <c r="A95" s="50"/>
      <c r="B95" s="33" t="s">
        <v>64</v>
      </c>
      <c r="C95" s="38"/>
      <c r="D95" s="111"/>
      <c r="E95" s="111"/>
      <c r="F95" s="111"/>
      <c r="G95" s="111"/>
      <c r="H95" s="111"/>
      <c r="I95" s="41"/>
      <c r="J95" s="112"/>
      <c r="K95" s="113"/>
      <c r="L95" s="13"/>
    </row>
    <row r="96" spans="1:12" ht="15" customHeight="1">
      <c r="A96" s="50"/>
      <c r="B96" s="33" t="s">
        <v>339</v>
      </c>
      <c r="C96" s="38"/>
      <c r="D96" s="111"/>
      <c r="E96" s="111" t="s">
        <v>340</v>
      </c>
      <c r="F96" s="111"/>
      <c r="G96" s="111"/>
      <c r="H96" s="111"/>
      <c r="I96" s="41"/>
      <c r="J96" s="112">
        <v>68</v>
      </c>
      <c r="K96" s="113" t="s">
        <v>8</v>
      </c>
    </row>
    <row r="97" spans="1:11" ht="15" customHeight="1">
      <c r="A97" s="50"/>
      <c r="B97" s="33"/>
      <c r="C97" s="38"/>
      <c r="D97" s="111"/>
      <c r="E97" s="111"/>
      <c r="F97" s="111"/>
      <c r="G97" s="111"/>
      <c r="H97" s="111"/>
      <c r="I97" s="41"/>
      <c r="J97" s="112"/>
      <c r="K97" s="113"/>
    </row>
    <row r="98" spans="1:11" ht="15" customHeight="1">
      <c r="A98" s="50"/>
      <c r="B98" s="33"/>
      <c r="C98" s="38"/>
      <c r="D98" s="111"/>
      <c r="E98" s="111" t="s">
        <v>341</v>
      </c>
      <c r="F98" s="111"/>
      <c r="G98" s="111"/>
      <c r="H98" s="111"/>
      <c r="I98" s="41"/>
      <c r="J98" s="112">
        <f>J93-J96</f>
        <v>2453.5</v>
      </c>
      <c r="K98" s="113" t="s">
        <v>8</v>
      </c>
    </row>
    <row r="99" spans="1:11" ht="15" customHeight="1">
      <c r="A99" s="50"/>
      <c r="B99" s="33"/>
      <c r="C99" s="38"/>
      <c r="D99" s="111"/>
      <c r="E99" s="111"/>
      <c r="F99" s="111"/>
      <c r="G99" s="111"/>
      <c r="H99" s="111"/>
      <c r="I99" s="41"/>
      <c r="J99" s="112"/>
      <c r="K99" s="113"/>
    </row>
    <row r="100" spans="1:11" ht="15" customHeight="1">
      <c r="A100" s="50"/>
      <c r="B100" s="33" t="s">
        <v>342</v>
      </c>
      <c r="C100" s="38"/>
      <c r="D100" s="111"/>
      <c r="E100" s="111"/>
      <c r="F100" s="111"/>
      <c r="G100" s="111"/>
      <c r="H100" s="111"/>
      <c r="I100" s="41"/>
      <c r="J100" s="112"/>
      <c r="K100" s="113"/>
    </row>
    <row r="101" spans="1:11" ht="15" customHeight="1">
      <c r="A101" s="50"/>
      <c r="B101" s="33" t="s">
        <v>335</v>
      </c>
      <c r="C101" s="38"/>
      <c r="D101" s="111"/>
      <c r="E101" s="111" t="s">
        <v>344</v>
      </c>
      <c r="F101" s="111"/>
      <c r="G101" s="111"/>
      <c r="H101" s="111"/>
      <c r="I101" s="41"/>
      <c r="J101" s="112">
        <v>1650</v>
      </c>
      <c r="K101" s="113" t="s">
        <v>8</v>
      </c>
    </row>
    <row r="102" spans="1:11" ht="15" customHeight="1">
      <c r="A102" s="50"/>
      <c r="B102" s="33" t="s">
        <v>343</v>
      </c>
      <c r="C102" s="38"/>
      <c r="D102" s="111"/>
      <c r="E102" s="111" t="s">
        <v>345</v>
      </c>
      <c r="F102" s="111"/>
      <c r="G102" s="111"/>
      <c r="H102" s="111"/>
      <c r="I102" s="41"/>
      <c r="J102" s="112">
        <v>1088</v>
      </c>
      <c r="K102" s="113" t="s">
        <v>8</v>
      </c>
    </row>
    <row r="103" spans="1:11" ht="15" customHeight="1">
      <c r="A103" s="50"/>
      <c r="B103" s="33"/>
      <c r="C103" s="38"/>
      <c r="D103" s="111"/>
      <c r="E103" s="111"/>
      <c r="F103" s="111"/>
      <c r="G103" s="111"/>
      <c r="H103" s="111"/>
      <c r="I103" s="41"/>
      <c r="J103" s="112">
        <f>SUM(J101:J102)</f>
        <v>2738</v>
      </c>
      <c r="K103" s="113" t="s">
        <v>8</v>
      </c>
    </row>
    <row r="104" spans="1:11" ht="15" customHeight="1">
      <c r="A104" s="50"/>
      <c r="B104" s="33"/>
      <c r="C104" s="38"/>
      <c r="D104" s="111"/>
      <c r="E104" s="111"/>
      <c r="F104" s="111"/>
      <c r="G104" s="111"/>
      <c r="H104" s="111"/>
      <c r="I104" s="41"/>
      <c r="J104" s="112"/>
      <c r="K104" s="113"/>
    </row>
    <row r="105" spans="1:11" ht="15" customHeight="1">
      <c r="A105" s="50"/>
      <c r="B105" s="33" t="s">
        <v>64</v>
      </c>
      <c r="C105" s="38"/>
      <c r="D105" s="111"/>
      <c r="E105" s="111"/>
      <c r="F105" s="111"/>
      <c r="G105" s="111"/>
      <c r="H105" s="111"/>
      <c r="I105" s="41"/>
      <c r="J105" s="112"/>
      <c r="K105" s="113"/>
    </row>
    <row r="106" spans="1:11" ht="15" customHeight="1">
      <c r="A106" s="50"/>
      <c r="B106" s="33" t="s">
        <v>339</v>
      </c>
      <c r="C106" s="38"/>
      <c r="D106" s="111"/>
      <c r="E106" s="111" t="s">
        <v>340</v>
      </c>
      <c r="F106" s="111"/>
      <c r="G106" s="111"/>
      <c r="H106" s="111"/>
      <c r="I106" s="41"/>
      <c r="J106" s="112">
        <v>68</v>
      </c>
      <c r="K106" s="113" t="s">
        <v>8</v>
      </c>
    </row>
    <row r="107" spans="1:11" ht="15" customHeight="1">
      <c r="A107" s="50"/>
      <c r="B107" s="33"/>
      <c r="C107" s="38"/>
      <c r="D107" s="111"/>
      <c r="E107" s="111"/>
      <c r="F107" s="111"/>
      <c r="G107" s="111"/>
      <c r="H107" s="111"/>
      <c r="I107" s="41"/>
      <c r="J107" s="112"/>
      <c r="K107" s="113"/>
    </row>
    <row r="108" spans="1:11" ht="15" customHeight="1">
      <c r="A108" s="50"/>
      <c r="B108" s="33"/>
      <c r="C108" s="38"/>
      <c r="D108" s="111"/>
      <c r="E108" s="111" t="s">
        <v>346</v>
      </c>
      <c r="F108" s="111"/>
      <c r="G108" s="111"/>
      <c r="H108" s="111"/>
      <c r="I108" s="41"/>
      <c r="J108" s="112">
        <f>J103-J106</f>
        <v>2670</v>
      </c>
      <c r="K108" s="113" t="s">
        <v>8</v>
      </c>
    </row>
    <row r="109" spans="1:11" ht="15" customHeight="1">
      <c r="A109" s="50"/>
      <c r="B109" s="33"/>
      <c r="C109" s="38"/>
      <c r="D109" s="111"/>
      <c r="E109" s="111"/>
      <c r="F109" s="111"/>
      <c r="G109" s="111"/>
      <c r="H109" s="111"/>
      <c r="I109" s="41"/>
      <c r="J109" s="114"/>
      <c r="K109" s="115"/>
    </row>
    <row r="110" spans="1:11" ht="15" customHeight="1">
      <c r="A110" s="50"/>
      <c r="B110" s="33"/>
      <c r="C110" s="38"/>
      <c r="D110" s="111"/>
      <c r="E110" s="111" t="s">
        <v>347</v>
      </c>
      <c r="F110" s="111"/>
      <c r="G110" s="111"/>
      <c r="H110" s="111"/>
      <c r="I110" s="41"/>
      <c r="J110" s="114">
        <f>J108+J98</f>
        <v>5123.5</v>
      </c>
      <c r="K110" s="115" t="s">
        <v>8</v>
      </c>
    </row>
    <row r="111" spans="1:11" ht="15" customHeight="1">
      <c r="A111" s="50"/>
      <c r="B111" s="33"/>
      <c r="C111" s="38"/>
      <c r="D111" s="111"/>
      <c r="E111" s="111"/>
      <c r="F111" s="111"/>
      <c r="G111" s="111"/>
      <c r="H111" s="111"/>
      <c r="I111" s="41"/>
      <c r="J111" s="114"/>
      <c r="K111" s="115"/>
    </row>
    <row r="112" spans="1:11" ht="15" customHeight="1">
      <c r="A112" s="50">
        <v>5</v>
      </c>
      <c r="B112" s="33" t="s">
        <v>348</v>
      </c>
      <c r="C112" s="38"/>
      <c r="D112" s="111"/>
      <c r="E112" s="111"/>
      <c r="F112" s="111"/>
      <c r="G112" s="111"/>
      <c r="H112" s="111"/>
      <c r="I112" s="41"/>
      <c r="J112" s="114"/>
      <c r="K112" s="115"/>
    </row>
    <row r="113" spans="1:11" ht="15" customHeight="1">
      <c r="A113" s="50"/>
      <c r="B113" s="33" t="s">
        <v>349</v>
      </c>
      <c r="C113" s="38"/>
      <c r="D113" s="111"/>
      <c r="E113" s="111" t="s">
        <v>350</v>
      </c>
      <c r="F113" s="111"/>
      <c r="G113" s="111"/>
      <c r="H113" s="111"/>
      <c r="I113" s="41"/>
      <c r="J113" s="114">
        <f>1*2*(12+15)*4.5</f>
        <v>243</v>
      </c>
      <c r="K113" s="115" t="s">
        <v>8</v>
      </c>
    </row>
    <row r="114" spans="1:11" ht="15" customHeight="1">
      <c r="A114" s="50"/>
      <c r="B114" s="33"/>
      <c r="C114" s="38"/>
      <c r="D114" s="111"/>
      <c r="E114" s="111"/>
      <c r="F114" s="111"/>
      <c r="G114" s="111"/>
      <c r="H114" s="111"/>
      <c r="I114" s="41"/>
      <c r="J114" s="114"/>
      <c r="K114" s="115"/>
    </row>
    <row r="115" spans="1:11" ht="15" customHeight="1">
      <c r="A115" s="50">
        <v>6</v>
      </c>
      <c r="B115" s="33" t="s">
        <v>351</v>
      </c>
      <c r="C115" s="38"/>
      <c r="D115" s="111"/>
      <c r="E115" s="111"/>
      <c r="F115" s="111"/>
      <c r="G115" s="111"/>
      <c r="H115" s="111"/>
      <c r="I115" s="41"/>
      <c r="J115" s="114"/>
      <c r="K115" s="115"/>
    </row>
    <row r="116" spans="1:11" ht="15" customHeight="1">
      <c r="A116" s="50"/>
      <c r="B116" s="33" t="s">
        <v>352</v>
      </c>
      <c r="C116" s="38"/>
      <c r="D116" s="111"/>
      <c r="E116" s="111" t="s">
        <v>357</v>
      </c>
      <c r="F116" s="111"/>
      <c r="G116" s="111"/>
      <c r="H116" s="111"/>
      <c r="I116" s="41"/>
      <c r="J116" s="112">
        <v>450</v>
      </c>
      <c r="K116" s="113" t="s">
        <v>8</v>
      </c>
    </row>
    <row r="117" spans="1:11" ht="15" customHeight="1">
      <c r="A117" s="50"/>
      <c r="B117" s="33" t="s">
        <v>353</v>
      </c>
      <c r="C117" s="38"/>
      <c r="D117" s="111"/>
      <c r="E117" s="111" t="s">
        <v>358</v>
      </c>
      <c r="F117" s="111"/>
      <c r="G117" s="111"/>
      <c r="H117" s="111"/>
      <c r="I117" s="41"/>
      <c r="J117" s="112">
        <v>752</v>
      </c>
      <c r="K117" s="113" t="s">
        <v>8</v>
      </c>
    </row>
    <row r="118" spans="1:11" ht="15" customHeight="1">
      <c r="A118" s="50"/>
      <c r="B118" s="33" t="s">
        <v>354</v>
      </c>
      <c r="C118" s="38"/>
      <c r="D118" s="111"/>
      <c r="E118" s="111" t="s">
        <v>359</v>
      </c>
      <c r="F118" s="111"/>
      <c r="G118" s="111"/>
      <c r="H118" s="111"/>
      <c r="I118" s="41"/>
      <c r="J118" s="112">
        <v>360</v>
      </c>
      <c r="K118" s="113" t="s">
        <v>8</v>
      </c>
    </row>
    <row r="119" spans="1:11" ht="15" customHeight="1">
      <c r="A119" s="50"/>
      <c r="B119" s="33" t="s">
        <v>355</v>
      </c>
      <c r="C119" s="38"/>
      <c r="D119" s="111"/>
      <c r="E119" s="111" t="s">
        <v>360</v>
      </c>
      <c r="F119" s="111"/>
      <c r="G119" s="111"/>
      <c r="H119" s="111"/>
      <c r="I119" s="41"/>
      <c r="J119" s="112">
        <v>294</v>
      </c>
      <c r="K119" s="113" t="s">
        <v>8</v>
      </c>
    </row>
    <row r="120" spans="1:11" ht="15" customHeight="1">
      <c r="A120" s="50"/>
      <c r="B120" s="33" t="s">
        <v>356</v>
      </c>
      <c r="C120" s="38"/>
      <c r="D120" s="111"/>
      <c r="E120" s="111" t="s">
        <v>361</v>
      </c>
      <c r="F120" s="111"/>
      <c r="G120" s="111"/>
      <c r="H120" s="111"/>
      <c r="I120" s="41"/>
      <c r="J120" s="112">
        <v>92</v>
      </c>
      <c r="K120" s="113" t="s">
        <v>8</v>
      </c>
    </row>
    <row r="121" spans="1:11" ht="15" customHeight="1">
      <c r="A121" s="50"/>
      <c r="B121" s="33" t="s">
        <v>356</v>
      </c>
      <c r="C121" s="38"/>
      <c r="D121" s="111"/>
      <c r="E121" s="111" t="s">
        <v>362</v>
      </c>
      <c r="F121" s="111"/>
      <c r="G121" s="111"/>
      <c r="H121" s="111"/>
      <c r="I121" s="41"/>
      <c r="J121" s="112">
        <v>96</v>
      </c>
      <c r="K121" s="113" t="s">
        <v>8</v>
      </c>
    </row>
    <row r="122" spans="1:11" ht="15" customHeight="1">
      <c r="A122" s="50"/>
      <c r="B122" s="33"/>
      <c r="C122" s="38"/>
      <c r="D122" s="111"/>
      <c r="E122" s="111"/>
      <c r="F122" s="111"/>
      <c r="G122" s="111"/>
      <c r="H122" s="111"/>
      <c r="I122" s="41"/>
      <c r="J122" s="114">
        <f>SUM(J116:J121)</f>
        <v>2044</v>
      </c>
      <c r="K122" s="115" t="s">
        <v>8</v>
      </c>
    </row>
    <row r="123" spans="1:11" ht="15" customHeight="1">
      <c r="A123" s="50"/>
      <c r="B123" s="33"/>
      <c r="C123" s="38"/>
      <c r="D123" s="111"/>
      <c r="E123" s="111"/>
      <c r="F123" s="111"/>
      <c r="G123" s="111"/>
      <c r="H123" s="111"/>
      <c r="I123" s="41"/>
      <c r="J123" s="114"/>
      <c r="K123" s="115"/>
    </row>
    <row r="124" spans="1:11" ht="15" customHeight="1">
      <c r="A124" s="50"/>
      <c r="B124" s="33" t="s">
        <v>311</v>
      </c>
      <c r="C124" s="38"/>
      <c r="D124" s="111"/>
      <c r="E124" s="111" t="s">
        <v>364</v>
      </c>
      <c r="F124" s="111"/>
      <c r="G124" s="111"/>
      <c r="H124" s="111"/>
      <c r="I124" s="41"/>
      <c r="J124" s="112">
        <f>1*8*13</f>
        <v>104</v>
      </c>
      <c r="K124" s="113" t="s">
        <v>8</v>
      </c>
    </row>
    <row r="125" spans="1:11" ht="15" customHeight="1">
      <c r="A125" s="50"/>
      <c r="B125" s="33" t="s">
        <v>363</v>
      </c>
      <c r="C125" s="38"/>
      <c r="D125" s="111"/>
      <c r="E125" s="111" t="s">
        <v>365</v>
      </c>
      <c r="F125" s="111"/>
      <c r="G125" s="111"/>
      <c r="H125" s="111"/>
      <c r="I125" s="41"/>
      <c r="J125" s="112">
        <f>1*14*10</f>
        <v>140</v>
      </c>
      <c r="K125" s="113" t="s">
        <v>8</v>
      </c>
    </row>
    <row r="126" spans="1:11" ht="15" customHeight="1">
      <c r="A126" s="50"/>
      <c r="B126" s="33"/>
      <c r="C126" s="38"/>
      <c r="D126" s="111"/>
      <c r="E126" s="111"/>
      <c r="F126" s="111"/>
      <c r="G126" s="111"/>
      <c r="H126" s="111"/>
      <c r="I126" s="41"/>
      <c r="J126" s="114">
        <f>SUM(J124:J125)</f>
        <v>244</v>
      </c>
      <c r="K126" s="115" t="s">
        <v>8</v>
      </c>
    </row>
    <row r="127" spans="1:11" ht="15" customHeight="1">
      <c r="A127" s="50"/>
      <c r="B127" s="33"/>
      <c r="C127" s="38"/>
      <c r="D127" s="111"/>
      <c r="E127" s="111"/>
      <c r="F127" s="111"/>
      <c r="G127" s="111"/>
      <c r="H127" s="111"/>
      <c r="I127" s="41"/>
      <c r="J127" s="114"/>
      <c r="K127" s="115"/>
    </row>
    <row r="128" spans="1:11" ht="15" customHeight="1">
      <c r="A128" s="50"/>
      <c r="B128" s="33"/>
      <c r="C128" s="38"/>
      <c r="D128" s="111"/>
      <c r="E128" s="111"/>
      <c r="F128" s="111"/>
      <c r="G128" s="111"/>
      <c r="H128" s="111"/>
      <c r="I128" s="41"/>
      <c r="J128" s="114">
        <f>J122-J126</f>
        <v>1800</v>
      </c>
      <c r="K128" s="115" t="s">
        <v>8</v>
      </c>
    </row>
    <row r="129" spans="1:11" ht="15" customHeight="1">
      <c r="A129" s="50"/>
      <c r="B129" s="33"/>
      <c r="C129" s="38"/>
      <c r="D129" s="111"/>
      <c r="E129" s="111"/>
      <c r="F129" s="111"/>
      <c r="G129" s="111"/>
      <c r="H129" s="111"/>
      <c r="I129" s="41"/>
      <c r="J129" s="114"/>
      <c r="K129" s="115"/>
    </row>
    <row r="130" spans="1:11" ht="15" customHeight="1">
      <c r="A130" s="50">
        <v>7</v>
      </c>
      <c r="B130" s="33" t="s">
        <v>366</v>
      </c>
      <c r="C130" s="38"/>
      <c r="D130" s="111"/>
      <c r="E130" s="111"/>
      <c r="F130" s="111"/>
      <c r="G130" s="111"/>
      <c r="H130" s="111"/>
      <c r="I130" s="41"/>
      <c r="J130" s="114"/>
      <c r="K130" s="115"/>
    </row>
    <row r="131" spans="1:11" ht="15" customHeight="1">
      <c r="A131" s="50"/>
      <c r="B131" s="33" t="s">
        <v>367</v>
      </c>
      <c r="C131" s="38"/>
      <c r="D131" s="111"/>
      <c r="E131" s="111" t="s">
        <v>368</v>
      </c>
      <c r="F131" s="111"/>
      <c r="G131" s="111"/>
      <c r="H131" s="111"/>
      <c r="I131" s="41"/>
      <c r="J131" s="112">
        <v>72</v>
      </c>
      <c r="K131" s="113" t="s">
        <v>8</v>
      </c>
    </row>
    <row r="132" spans="1:11" ht="15" customHeight="1">
      <c r="A132" s="50"/>
      <c r="B132" s="33" t="s">
        <v>327</v>
      </c>
      <c r="C132" s="38"/>
      <c r="D132" s="111"/>
      <c r="E132" s="111" t="s">
        <v>369</v>
      </c>
      <c r="F132" s="111"/>
      <c r="G132" s="111"/>
      <c r="H132" s="111"/>
      <c r="I132" s="41"/>
      <c r="J132" s="112">
        <v>60</v>
      </c>
      <c r="K132" s="113" t="s">
        <v>8</v>
      </c>
    </row>
    <row r="133" spans="1:11" ht="15" customHeight="1">
      <c r="A133" s="50"/>
      <c r="B133" s="33" t="s">
        <v>328</v>
      </c>
      <c r="C133" s="38"/>
      <c r="D133" s="111"/>
      <c r="E133" s="111" t="s">
        <v>370</v>
      </c>
      <c r="F133" s="111"/>
      <c r="G133" s="111"/>
      <c r="H133" s="111"/>
      <c r="I133" s="41"/>
      <c r="J133" s="112">
        <v>98</v>
      </c>
      <c r="K133" s="113" t="s">
        <v>8</v>
      </c>
    </row>
    <row r="134" spans="1:11" ht="15" customHeight="1">
      <c r="A134" s="50"/>
      <c r="B134" s="33"/>
      <c r="C134" s="38"/>
      <c r="D134" s="111"/>
      <c r="E134" s="111"/>
      <c r="F134" s="111"/>
      <c r="G134" s="111"/>
      <c r="H134" s="111"/>
      <c r="I134" s="41"/>
      <c r="J134" s="114">
        <f>SUM(J131:J133)</f>
        <v>230</v>
      </c>
      <c r="K134" s="115" t="s">
        <v>8</v>
      </c>
    </row>
    <row r="135" spans="1:11" ht="15" customHeight="1">
      <c r="A135" s="50"/>
      <c r="B135" s="33"/>
      <c r="C135" s="38"/>
      <c r="D135" s="111"/>
      <c r="E135" s="111"/>
      <c r="F135" s="111"/>
      <c r="G135" s="111"/>
      <c r="H135" s="111"/>
      <c r="I135" s="41"/>
      <c r="J135" s="114"/>
      <c r="K135" s="115"/>
    </row>
    <row r="136" spans="1:11" ht="15" customHeight="1">
      <c r="A136" s="50">
        <v>8</v>
      </c>
      <c r="B136" s="33" t="s">
        <v>81</v>
      </c>
      <c r="C136" s="38"/>
      <c r="D136" s="111"/>
      <c r="E136" s="111"/>
      <c r="F136" s="111"/>
      <c r="G136" s="111"/>
      <c r="H136" s="111"/>
      <c r="I136" s="41"/>
      <c r="J136" s="114"/>
      <c r="K136" s="115"/>
    </row>
    <row r="137" spans="1:11" ht="15" customHeight="1">
      <c r="A137" s="50"/>
      <c r="B137" s="33" t="s">
        <v>371</v>
      </c>
      <c r="C137" s="38"/>
      <c r="D137" s="111"/>
      <c r="E137" s="111" t="s">
        <v>374</v>
      </c>
      <c r="F137" s="111"/>
      <c r="G137" s="111"/>
      <c r="H137" s="111"/>
      <c r="I137" s="41"/>
      <c r="J137" s="112">
        <v>900</v>
      </c>
      <c r="K137" s="113" t="s">
        <v>8</v>
      </c>
    </row>
    <row r="138" spans="1:11" ht="15" customHeight="1">
      <c r="A138" s="50"/>
      <c r="B138" s="33" t="s">
        <v>372</v>
      </c>
      <c r="C138" s="38"/>
      <c r="D138" s="111"/>
      <c r="E138" s="111" t="s">
        <v>375</v>
      </c>
      <c r="F138" s="111"/>
      <c r="G138" s="111"/>
      <c r="H138" s="111"/>
      <c r="I138" s="41"/>
      <c r="J138" s="112">
        <v>416</v>
      </c>
      <c r="K138" s="113" t="s">
        <v>8</v>
      </c>
    </row>
    <row r="139" spans="1:11" ht="15" customHeight="1">
      <c r="A139" s="50"/>
      <c r="B139" s="33" t="s">
        <v>373</v>
      </c>
      <c r="C139" s="38"/>
      <c r="D139" s="111"/>
      <c r="E139" s="111" t="s">
        <v>376</v>
      </c>
      <c r="F139" s="111"/>
      <c r="G139" s="111"/>
      <c r="H139" s="111"/>
      <c r="I139" s="41"/>
      <c r="J139" s="112">
        <v>48</v>
      </c>
      <c r="K139" s="113" t="s">
        <v>8</v>
      </c>
    </row>
    <row r="140" spans="1:11" ht="15" customHeight="1">
      <c r="A140" s="50"/>
      <c r="B140" s="33"/>
      <c r="C140" s="38"/>
      <c r="D140" s="111"/>
      <c r="E140" s="111" t="s">
        <v>377</v>
      </c>
      <c r="F140" s="111"/>
      <c r="G140" s="111"/>
      <c r="H140" s="111"/>
      <c r="I140" s="41"/>
      <c r="J140" s="112">
        <v>52</v>
      </c>
      <c r="K140" s="113" t="s">
        <v>8</v>
      </c>
    </row>
    <row r="141" spans="1:11" ht="15" customHeight="1">
      <c r="A141" s="50"/>
      <c r="B141" s="33"/>
      <c r="C141" s="38"/>
      <c r="D141" s="111"/>
      <c r="E141" s="111" t="s">
        <v>378</v>
      </c>
      <c r="F141" s="111"/>
      <c r="G141" s="111"/>
      <c r="H141" s="111"/>
      <c r="I141" s="41"/>
      <c r="J141" s="112">
        <v>180</v>
      </c>
      <c r="K141" s="113" t="s">
        <v>8</v>
      </c>
    </row>
    <row r="142" spans="1:11" ht="15" customHeight="1">
      <c r="A142" s="50"/>
      <c r="B142" s="33"/>
      <c r="C142" s="38"/>
      <c r="D142" s="111"/>
      <c r="E142" s="111" t="s">
        <v>379</v>
      </c>
      <c r="F142" s="111"/>
      <c r="G142" s="111"/>
      <c r="H142" s="111"/>
      <c r="I142" s="41"/>
      <c r="J142" s="112">
        <v>296</v>
      </c>
      <c r="K142" s="113" t="s">
        <v>8</v>
      </c>
    </row>
    <row r="143" spans="1:11" ht="15" customHeight="1">
      <c r="A143" s="50"/>
      <c r="B143" s="33"/>
      <c r="C143" s="38"/>
      <c r="D143" s="111"/>
      <c r="E143" s="111"/>
      <c r="F143" s="111"/>
      <c r="G143" s="111"/>
      <c r="H143" s="111"/>
      <c r="I143" s="41"/>
      <c r="J143" s="114">
        <f>SUM(J137:J142)</f>
        <v>1892</v>
      </c>
      <c r="K143" s="113" t="s">
        <v>8</v>
      </c>
    </row>
    <row r="144" spans="1:11" ht="15" customHeight="1">
      <c r="A144" s="50"/>
      <c r="B144" s="33"/>
      <c r="C144" s="38"/>
      <c r="D144" s="111"/>
      <c r="E144" s="111"/>
      <c r="F144" s="111"/>
      <c r="G144" s="111"/>
      <c r="H144" s="111"/>
      <c r="I144" s="41"/>
      <c r="J144" s="114"/>
      <c r="K144" s="115"/>
    </row>
    <row r="145" spans="1:19" ht="15" customHeight="1">
      <c r="A145" s="50"/>
      <c r="B145" s="33" t="s">
        <v>64</v>
      </c>
      <c r="C145" s="38"/>
      <c r="D145" s="111"/>
      <c r="E145" s="111"/>
      <c r="F145" s="111"/>
      <c r="G145" s="111"/>
      <c r="H145" s="111"/>
      <c r="I145" s="41"/>
      <c r="J145" s="114"/>
      <c r="K145" s="115"/>
    </row>
    <row r="146" spans="1:19" ht="15" customHeight="1">
      <c r="A146" s="50"/>
      <c r="B146" s="33" t="s">
        <v>380</v>
      </c>
      <c r="C146" s="38"/>
      <c r="D146" s="111"/>
      <c r="E146" s="111" t="s">
        <v>381</v>
      </c>
      <c r="F146" s="111"/>
      <c r="G146" s="111"/>
      <c r="H146" s="111"/>
      <c r="I146" s="41"/>
      <c r="J146" s="112">
        <v>104</v>
      </c>
      <c r="K146" s="113" t="s">
        <v>8</v>
      </c>
    </row>
    <row r="147" spans="1:19" ht="15" customHeight="1">
      <c r="A147" s="50"/>
      <c r="B147" s="33" t="s">
        <v>363</v>
      </c>
      <c r="C147" s="38"/>
      <c r="D147" s="111"/>
      <c r="E147" s="111" t="s">
        <v>365</v>
      </c>
      <c r="F147" s="111"/>
      <c r="G147" s="111"/>
      <c r="H147" s="111"/>
      <c r="I147" s="41"/>
      <c r="J147" s="112">
        <v>140</v>
      </c>
      <c r="K147" s="113" t="s">
        <v>8</v>
      </c>
    </row>
    <row r="148" spans="1:19" ht="15" customHeight="1">
      <c r="A148" s="50"/>
      <c r="B148" s="33"/>
      <c r="C148" s="38"/>
      <c r="D148" s="111"/>
      <c r="E148" s="111"/>
      <c r="F148" s="111"/>
      <c r="G148" s="111"/>
      <c r="H148" s="111"/>
      <c r="I148" s="41"/>
      <c r="J148" s="114">
        <f>SUM(J146:J147)</f>
        <v>244</v>
      </c>
      <c r="K148" s="115" t="s">
        <v>8</v>
      </c>
    </row>
    <row r="149" spans="1:19" ht="15" customHeight="1">
      <c r="A149" s="50"/>
      <c r="B149" s="33"/>
      <c r="C149" s="38"/>
      <c r="D149" s="111"/>
      <c r="E149" s="111"/>
      <c r="F149" s="111"/>
      <c r="G149" s="111"/>
      <c r="H149" s="111"/>
      <c r="I149" s="41"/>
      <c r="J149" s="114"/>
      <c r="K149" s="115"/>
    </row>
    <row r="150" spans="1:19" ht="15" customHeight="1">
      <c r="A150" s="50"/>
      <c r="B150" s="33"/>
      <c r="C150" s="38"/>
      <c r="D150" s="111"/>
      <c r="E150" s="111"/>
      <c r="F150" s="111"/>
      <c r="G150" s="111"/>
      <c r="H150" s="111"/>
      <c r="I150" s="41"/>
      <c r="J150" s="114">
        <f>J143-J148</f>
        <v>1648</v>
      </c>
      <c r="K150" s="115" t="s">
        <v>8</v>
      </c>
    </row>
    <row r="151" spans="1:19" ht="15" customHeight="1">
      <c r="A151" s="50"/>
      <c r="B151" s="33"/>
      <c r="C151" s="38"/>
      <c r="D151" s="111"/>
      <c r="E151" s="111"/>
      <c r="F151" s="111"/>
      <c r="G151" s="111"/>
      <c r="H151" s="111"/>
      <c r="I151" s="41"/>
      <c r="J151" s="114"/>
      <c r="K151" s="115"/>
    </row>
    <row r="152" spans="1:19" ht="15" customHeight="1">
      <c r="A152" s="50">
        <v>9</v>
      </c>
      <c r="B152" s="33" t="s">
        <v>382</v>
      </c>
      <c r="C152" s="38"/>
      <c r="D152" s="111"/>
      <c r="E152" s="111"/>
      <c r="F152" s="111"/>
      <c r="G152" s="111"/>
      <c r="H152" s="111"/>
      <c r="I152" s="41"/>
      <c r="J152" s="114"/>
      <c r="K152" s="115"/>
    </row>
    <row r="153" spans="1:19" ht="15" customHeight="1">
      <c r="A153" s="50"/>
      <c r="B153" s="33"/>
      <c r="C153" s="38"/>
      <c r="D153" s="111"/>
      <c r="E153" s="111" t="s">
        <v>383</v>
      </c>
      <c r="F153" s="111"/>
      <c r="G153" s="111"/>
      <c r="H153" s="111"/>
      <c r="I153" s="41"/>
      <c r="J153" s="114">
        <f>J98</f>
        <v>2453.5</v>
      </c>
      <c r="K153" s="115" t="s">
        <v>8</v>
      </c>
      <c r="M153" s="36"/>
      <c r="N153" s="36"/>
      <c r="O153" s="36"/>
      <c r="P153" s="36"/>
      <c r="Q153" s="36"/>
      <c r="R153" s="36"/>
      <c r="S153" s="36"/>
    </row>
    <row r="154" spans="1:19" ht="15" customHeight="1">
      <c r="A154" s="50">
        <v>10</v>
      </c>
      <c r="B154" s="33" t="s">
        <v>83</v>
      </c>
      <c r="C154" s="152"/>
      <c r="D154" s="153"/>
      <c r="E154" s="153"/>
      <c r="F154" s="153"/>
      <c r="G154" s="153"/>
      <c r="H154" s="153"/>
      <c r="I154" s="154"/>
      <c r="J154" s="155"/>
      <c r="K154" s="156"/>
      <c r="M154" s="36"/>
      <c r="N154" s="36"/>
      <c r="O154" s="36"/>
      <c r="P154" s="36"/>
      <c r="Q154" s="36"/>
      <c r="R154" s="36"/>
      <c r="S154" s="36"/>
    </row>
    <row r="155" spans="1:19" ht="15" customHeight="1">
      <c r="A155" s="33"/>
      <c r="B155" s="33" t="s">
        <v>384</v>
      </c>
      <c r="C155" s="33"/>
      <c r="D155" s="33"/>
      <c r="E155" s="33" t="s">
        <v>386</v>
      </c>
      <c r="F155" s="33"/>
      <c r="G155" s="33"/>
      <c r="H155" s="33"/>
      <c r="I155" s="33"/>
      <c r="J155" s="160">
        <v>264</v>
      </c>
      <c r="K155" s="33" t="s">
        <v>8</v>
      </c>
      <c r="M155" s="36"/>
      <c r="N155" s="36"/>
      <c r="O155" s="36"/>
      <c r="P155" s="36"/>
      <c r="Q155" s="36"/>
      <c r="R155" s="36"/>
      <c r="S155" s="36"/>
    </row>
    <row r="156" spans="1:19" ht="15" customHeight="1">
      <c r="A156" s="33"/>
      <c r="B156" s="33" t="s">
        <v>70</v>
      </c>
      <c r="C156" s="33"/>
      <c r="D156" s="33"/>
      <c r="E156" s="33" t="s">
        <v>387</v>
      </c>
      <c r="F156" s="33"/>
      <c r="G156" s="33"/>
      <c r="H156" s="33"/>
      <c r="I156" s="33"/>
      <c r="J156" s="160">
        <v>137</v>
      </c>
      <c r="K156" s="33" t="s">
        <v>8</v>
      </c>
      <c r="M156" s="36"/>
      <c r="N156" s="36"/>
      <c r="O156" s="36"/>
      <c r="P156" s="36"/>
      <c r="Q156" s="36"/>
      <c r="R156" s="36"/>
      <c r="S156" s="36"/>
    </row>
    <row r="157" spans="1:19" ht="15" customHeight="1">
      <c r="A157" s="50"/>
      <c r="B157" s="33" t="s">
        <v>385</v>
      </c>
      <c r="C157" s="152"/>
      <c r="D157" s="153"/>
      <c r="E157" s="153" t="s">
        <v>388</v>
      </c>
      <c r="F157" s="153"/>
      <c r="G157" s="153"/>
      <c r="H157" s="153"/>
      <c r="I157" s="154"/>
      <c r="J157" s="157">
        <v>288</v>
      </c>
      <c r="K157" s="156" t="s">
        <v>8</v>
      </c>
      <c r="M157" s="36"/>
      <c r="N157" s="36"/>
      <c r="O157" s="36"/>
      <c r="P157" s="36"/>
      <c r="Q157" s="36"/>
      <c r="R157" s="36"/>
      <c r="S157" s="36"/>
    </row>
    <row r="158" spans="1:19" ht="15" customHeight="1">
      <c r="A158" s="50"/>
      <c r="B158" s="33"/>
      <c r="C158" s="152"/>
      <c r="D158" s="153"/>
      <c r="E158" s="153" t="s">
        <v>389</v>
      </c>
      <c r="F158" s="153"/>
      <c r="G158" s="153"/>
      <c r="H158" s="153"/>
      <c r="I158" s="154"/>
      <c r="J158" s="155">
        <f>J108</f>
        <v>2670</v>
      </c>
      <c r="K158" s="156" t="s">
        <v>8</v>
      </c>
      <c r="M158" s="36"/>
      <c r="N158" s="36"/>
      <c r="O158" s="36"/>
      <c r="P158" s="36"/>
      <c r="Q158" s="36"/>
      <c r="R158" s="36"/>
      <c r="S158" s="36"/>
    </row>
    <row r="159" spans="1:19" ht="15" customHeight="1">
      <c r="A159" s="50"/>
      <c r="B159" s="35"/>
      <c r="C159" s="152"/>
      <c r="D159" s="153"/>
      <c r="E159" s="153"/>
      <c r="F159" s="153"/>
      <c r="G159" s="153"/>
      <c r="H159" s="153"/>
      <c r="I159" s="154"/>
      <c r="J159" s="157">
        <f>SUM(J155:J158)</f>
        <v>3359</v>
      </c>
      <c r="K159" s="158" t="s">
        <v>8</v>
      </c>
      <c r="M159" s="28"/>
      <c r="N159" s="36"/>
      <c r="O159" s="36"/>
      <c r="P159" s="28"/>
      <c r="Q159" s="28"/>
      <c r="R159" s="36"/>
      <c r="S159" s="36"/>
    </row>
    <row r="160" spans="1:19" ht="15" customHeight="1">
      <c r="A160" s="50"/>
      <c r="B160" s="35"/>
      <c r="C160" s="152"/>
      <c r="D160" s="153"/>
      <c r="E160" s="153"/>
      <c r="F160" s="153"/>
      <c r="G160" s="153"/>
      <c r="H160" s="153"/>
      <c r="I160" s="154"/>
      <c r="J160" s="157"/>
      <c r="K160" s="158"/>
      <c r="M160" s="36"/>
      <c r="N160" s="36"/>
      <c r="O160" s="36"/>
      <c r="P160" s="36"/>
      <c r="Q160" s="36"/>
      <c r="R160" s="36"/>
      <c r="S160" s="36"/>
    </row>
    <row r="161" spans="1:19" ht="15" customHeight="1">
      <c r="A161" s="50">
        <v>11</v>
      </c>
      <c r="B161" s="33" t="s">
        <v>390</v>
      </c>
      <c r="C161" s="152"/>
      <c r="D161" s="153"/>
      <c r="E161" s="153"/>
      <c r="F161" s="153"/>
      <c r="G161" s="153"/>
      <c r="H161" s="153"/>
      <c r="I161" s="154"/>
      <c r="J161" s="157"/>
      <c r="K161" s="158"/>
      <c r="M161" s="36"/>
      <c r="N161" s="36"/>
      <c r="O161" s="36"/>
      <c r="P161" s="36"/>
      <c r="Q161" s="36"/>
      <c r="R161" s="36"/>
      <c r="S161" s="36"/>
    </row>
    <row r="162" spans="1:19" ht="15" customHeight="1">
      <c r="A162" s="50"/>
      <c r="B162" s="33" t="s">
        <v>391</v>
      </c>
      <c r="C162" s="152"/>
      <c r="D162" s="153"/>
      <c r="E162" s="153" t="s">
        <v>358</v>
      </c>
      <c r="F162" s="153"/>
      <c r="G162" s="153"/>
      <c r="H162" s="153"/>
      <c r="I162" s="154"/>
      <c r="J162" s="157">
        <v>752</v>
      </c>
      <c r="K162" s="158" t="s">
        <v>8</v>
      </c>
      <c r="M162" s="36"/>
      <c r="N162" s="36"/>
      <c r="O162" s="36"/>
      <c r="P162" s="36"/>
      <c r="Q162" s="36"/>
      <c r="R162" s="36"/>
      <c r="S162" s="36"/>
    </row>
    <row r="163" spans="1:19" ht="15" customHeight="1">
      <c r="A163" s="50"/>
      <c r="B163" s="33" t="s">
        <v>355</v>
      </c>
      <c r="C163" s="152"/>
      <c r="D163" s="153"/>
      <c r="E163" s="153" t="s">
        <v>360</v>
      </c>
      <c r="F163" s="153"/>
      <c r="G163" s="153"/>
      <c r="H163" s="153"/>
      <c r="I163" s="154"/>
      <c r="J163" s="157">
        <v>294</v>
      </c>
      <c r="K163" s="158" t="s">
        <v>8</v>
      </c>
      <c r="M163" s="36"/>
      <c r="N163" s="36"/>
      <c r="O163" s="36"/>
      <c r="P163" s="36"/>
      <c r="Q163" s="36"/>
      <c r="R163" s="36"/>
      <c r="S163" s="36"/>
    </row>
    <row r="164" spans="1:19" ht="15" customHeight="1">
      <c r="A164" s="50"/>
      <c r="B164" s="33"/>
      <c r="C164" s="152"/>
      <c r="D164" s="153"/>
      <c r="E164" s="153"/>
      <c r="F164" s="153"/>
      <c r="G164" s="153"/>
      <c r="H164" s="153"/>
      <c r="I164" s="154"/>
      <c r="J164" s="157">
        <f>SUM(J162:J163)</f>
        <v>1046</v>
      </c>
      <c r="K164" s="158" t="s">
        <v>8</v>
      </c>
    </row>
    <row r="165" spans="1:19" ht="15" customHeight="1">
      <c r="A165" s="50"/>
      <c r="B165" s="33"/>
      <c r="C165" s="152"/>
      <c r="D165" s="153"/>
      <c r="E165" s="153"/>
      <c r="F165" s="153"/>
      <c r="G165" s="153"/>
      <c r="H165" s="153"/>
      <c r="I165" s="154"/>
      <c r="J165" s="157"/>
      <c r="K165" s="158"/>
    </row>
    <row r="166" spans="1:19" ht="15" customHeight="1">
      <c r="A166" s="50">
        <v>12</v>
      </c>
      <c r="B166" s="33" t="s">
        <v>392</v>
      </c>
      <c r="C166" s="152"/>
      <c r="D166" s="153"/>
      <c r="E166" s="153"/>
      <c r="F166" s="153"/>
      <c r="G166" s="153"/>
      <c r="H166" s="153"/>
      <c r="I166" s="154"/>
      <c r="J166" s="157"/>
      <c r="K166" s="158"/>
    </row>
    <row r="167" spans="1:19" ht="15" customHeight="1">
      <c r="A167" s="50"/>
      <c r="B167" s="33" t="s">
        <v>404</v>
      </c>
      <c r="C167" s="152"/>
      <c r="D167" s="153"/>
      <c r="E167" s="153"/>
      <c r="F167" s="153"/>
      <c r="G167" s="153"/>
      <c r="H167" s="153"/>
      <c r="I167" s="154"/>
      <c r="J167" s="155"/>
      <c r="K167" s="156"/>
    </row>
    <row r="168" spans="1:19" ht="15" customHeight="1">
      <c r="A168" s="50"/>
      <c r="B168" s="33"/>
      <c r="C168" s="152"/>
      <c r="D168" s="153"/>
      <c r="E168" s="153" t="s">
        <v>82</v>
      </c>
      <c r="F168" s="153"/>
      <c r="G168" s="153"/>
      <c r="H168" s="153"/>
      <c r="I168" s="154"/>
      <c r="J168" s="157">
        <f>J60</f>
        <v>3906</v>
      </c>
      <c r="K168" s="158" t="s">
        <v>74</v>
      </c>
    </row>
    <row r="169" spans="1:19" ht="15" customHeight="1">
      <c r="A169" s="50"/>
      <c r="B169" s="33"/>
      <c r="C169" s="152"/>
      <c r="D169" s="153"/>
      <c r="E169" s="153"/>
      <c r="F169" s="153"/>
      <c r="G169" s="153"/>
      <c r="H169" s="153"/>
      <c r="I169" s="154"/>
      <c r="J169" s="157"/>
      <c r="K169" s="158"/>
    </row>
    <row r="170" spans="1:19" ht="15" customHeight="1">
      <c r="A170" s="50">
        <v>13</v>
      </c>
      <c r="B170" s="33" t="s">
        <v>393</v>
      </c>
      <c r="C170" s="152"/>
      <c r="D170" s="153"/>
      <c r="E170" s="153"/>
      <c r="F170" s="153"/>
      <c r="G170" s="153"/>
      <c r="H170" s="153"/>
      <c r="I170" s="154"/>
      <c r="J170" s="157"/>
      <c r="K170" s="158"/>
    </row>
    <row r="171" spans="1:19" ht="15" customHeight="1">
      <c r="A171" s="50"/>
      <c r="B171" s="33" t="s">
        <v>405</v>
      </c>
      <c r="C171" s="152"/>
      <c r="D171" s="153"/>
      <c r="E171" s="153"/>
      <c r="F171" s="153"/>
      <c r="G171" s="153"/>
      <c r="H171" s="153"/>
      <c r="I171" s="154"/>
      <c r="J171" s="157"/>
      <c r="K171" s="158"/>
      <c r="L171" s="36"/>
    </row>
    <row r="172" spans="1:19" ht="15" customHeight="1">
      <c r="A172" s="50"/>
      <c r="B172" s="33"/>
      <c r="C172" s="152"/>
      <c r="D172" s="153"/>
      <c r="E172" s="153" t="s">
        <v>394</v>
      </c>
      <c r="F172" s="153"/>
      <c r="G172" s="153"/>
      <c r="H172" s="153"/>
      <c r="I172" s="154"/>
      <c r="J172" s="157">
        <f>J86</f>
        <v>209.25</v>
      </c>
      <c r="K172" s="158" t="s">
        <v>131</v>
      </c>
      <c r="L172" s="36"/>
    </row>
    <row r="173" spans="1:19" ht="15" customHeight="1">
      <c r="A173" s="50"/>
      <c r="B173" s="33"/>
      <c r="C173" s="152"/>
      <c r="D173" s="153"/>
      <c r="E173" s="153"/>
      <c r="F173" s="153"/>
      <c r="G173" s="153"/>
      <c r="H173" s="153"/>
      <c r="I173" s="154"/>
      <c r="J173" s="157"/>
      <c r="K173" s="158"/>
      <c r="L173" s="36"/>
    </row>
    <row r="174" spans="1:19" ht="15" customHeight="1">
      <c r="A174" s="50">
        <v>14</v>
      </c>
      <c r="B174" s="33" t="s">
        <v>395</v>
      </c>
      <c r="C174" s="152"/>
      <c r="D174" s="153"/>
      <c r="E174" s="153"/>
      <c r="F174" s="153"/>
      <c r="G174" s="153"/>
      <c r="H174" s="153"/>
      <c r="I174" s="154"/>
      <c r="J174" s="157"/>
      <c r="K174" s="158"/>
      <c r="L174" s="36"/>
    </row>
    <row r="175" spans="1:19" ht="15" customHeight="1">
      <c r="A175" s="50"/>
      <c r="B175" s="33" t="s">
        <v>406</v>
      </c>
      <c r="C175" s="152"/>
      <c r="D175" s="153"/>
      <c r="E175" s="153" t="s">
        <v>396</v>
      </c>
      <c r="F175" s="153"/>
      <c r="G175" s="153"/>
      <c r="H175" s="153"/>
      <c r="I175" s="154"/>
      <c r="J175" s="157">
        <f>J83</f>
        <v>958</v>
      </c>
      <c r="K175" s="158" t="s">
        <v>74</v>
      </c>
      <c r="L175" s="36"/>
    </row>
    <row r="176" spans="1:19" ht="15" customHeight="1">
      <c r="A176" s="50"/>
      <c r="B176" s="33"/>
      <c r="C176" s="152"/>
      <c r="D176" s="153"/>
      <c r="E176" s="153"/>
      <c r="F176" s="153"/>
      <c r="G176" s="153"/>
      <c r="H176" s="153"/>
      <c r="I176" s="154"/>
      <c r="J176" s="157"/>
      <c r="K176" s="158"/>
      <c r="L176" s="36"/>
    </row>
    <row r="177" spans="1:12" ht="15" customHeight="1">
      <c r="A177" s="50">
        <v>15</v>
      </c>
      <c r="B177" s="33" t="s">
        <v>397</v>
      </c>
      <c r="C177" s="152"/>
      <c r="D177" s="153"/>
      <c r="E177" s="153"/>
      <c r="F177" s="153"/>
      <c r="G177" s="153"/>
      <c r="H177" s="153"/>
      <c r="I177" s="154"/>
      <c r="J177" s="157"/>
      <c r="K177" s="158"/>
      <c r="L177" s="36"/>
    </row>
    <row r="178" spans="1:12" ht="15" customHeight="1">
      <c r="A178" s="50"/>
      <c r="B178" s="33" t="s">
        <v>407</v>
      </c>
      <c r="C178" s="152"/>
      <c r="D178" s="153"/>
      <c r="E178" s="153" t="s">
        <v>398</v>
      </c>
      <c r="F178" s="153"/>
      <c r="G178" s="153"/>
      <c r="H178" s="153"/>
      <c r="I178" s="154"/>
      <c r="J178" s="157">
        <f>J110</f>
        <v>5123.5</v>
      </c>
      <c r="K178" s="158" t="s">
        <v>8</v>
      </c>
      <c r="L178" s="36"/>
    </row>
    <row r="179" spans="1:12" ht="15" customHeight="1">
      <c r="A179" s="50"/>
      <c r="B179" s="33"/>
      <c r="C179" s="152"/>
      <c r="D179" s="153"/>
      <c r="E179" s="153"/>
      <c r="F179" s="153"/>
      <c r="G179" s="153"/>
      <c r="H179" s="153"/>
      <c r="I179" s="154"/>
      <c r="J179" s="157"/>
      <c r="K179" s="158"/>
      <c r="L179" s="36"/>
    </row>
    <row r="180" spans="1:12" ht="15" customHeight="1">
      <c r="A180" s="50">
        <v>16</v>
      </c>
      <c r="B180" s="33" t="s">
        <v>399</v>
      </c>
      <c r="C180" s="152"/>
      <c r="D180" s="153"/>
      <c r="E180" s="153"/>
      <c r="F180" s="153"/>
      <c r="G180" s="153"/>
      <c r="H180" s="153"/>
      <c r="I180" s="154"/>
      <c r="J180" s="157"/>
      <c r="K180" s="158"/>
      <c r="L180" s="36"/>
    </row>
    <row r="181" spans="1:12" ht="15" customHeight="1">
      <c r="A181" s="50"/>
      <c r="B181" s="33" t="s">
        <v>400</v>
      </c>
      <c r="C181" s="152"/>
      <c r="D181" s="153"/>
      <c r="E181" s="153" t="s">
        <v>340</v>
      </c>
      <c r="F181" s="153"/>
      <c r="G181" s="153"/>
      <c r="H181" s="153"/>
      <c r="I181" s="154"/>
      <c r="J181" s="157">
        <f>2*4*8.5</f>
        <v>68</v>
      </c>
      <c r="K181" s="158" t="s">
        <v>8</v>
      </c>
      <c r="L181" s="36"/>
    </row>
    <row r="182" spans="1:12" ht="15" customHeight="1">
      <c r="A182" s="50"/>
      <c r="B182" s="33"/>
      <c r="C182" s="152"/>
      <c r="D182" s="153"/>
      <c r="E182" s="153"/>
      <c r="F182" s="153"/>
      <c r="G182" s="153"/>
      <c r="H182" s="153"/>
      <c r="I182" s="154"/>
      <c r="J182" s="157"/>
      <c r="K182" s="158"/>
      <c r="L182" s="13"/>
    </row>
    <row r="183" spans="1:12" ht="15" customHeight="1">
      <c r="A183" s="50">
        <v>17</v>
      </c>
      <c r="B183" s="33" t="s">
        <v>401</v>
      </c>
      <c r="C183" s="152"/>
      <c r="D183" s="153"/>
      <c r="E183" s="153"/>
      <c r="F183" s="153"/>
      <c r="G183" s="153"/>
      <c r="H183" s="153"/>
      <c r="I183" s="154"/>
      <c r="J183" s="157"/>
      <c r="K183" s="158"/>
      <c r="L183" s="13"/>
    </row>
    <row r="184" spans="1:12" ht="15" customHeight="1">
      <c r="A184" s="50"/>
      <c r="B184" s="33" t="s">
        <v>402</v>
      </c>
      <c r="C184" s="152"/>
      <c r="D184" s="153"/>
      <c r="E184" s="153" t="s">
        <v>403</v>
      </c>
      <c r="F184" s="153"/>
      <c r="G184" s="153"/>
      <c r="H184" s="153"/>
      <c r="I184" s="154"/>
      <c r="J184" s="157">
        <v>136</v>
      </c>
      <c r="K184" s="158" t="s">
        <v>8</v>
      </c>
      <c r="L184" s="13"/>
    </row>
    <row r="185" spans="1:12" ht="15" customHeight="1">
      <c r="A185" s="50"/>
      <c r="B185" s="35"/>
      <c r="C185" s="152"/>
      <c r="D185" s="153"/>
      <c r="E185" s="153"/>
      <c r="F185" s="153"/>
      <c r="G185" s="153"/>
      <c r="H185" s="153"/>
      <c r="I185" s="154"/>
      <c r="J185" s="155"/>
      <c r="K185" s="156"/>
      <c r="L185" s="13"/>
    </row>
    <row r="186" spans="1:12" ht="15" customHeight="1">
      <c r="A186" s="50"/>
      <c r="B186" s="35"/>
      <c r="C186" s="152"/>
      <c r="D186" s="153"/>
      <c r="E186" s="153"/>
      <c r="F186" s="153"/>
      <c r="G186" s="153"/>
      <c r="H186" s="153"/>
      <c r="I186" s="154"/>
      <c r="J186" s="157"/>
      <c r="K186" s="158"/>
      <c r="L186" s="13"/>
    </row>
    <row r="187" spans="1:12" ht="15" customHeight="1">
      <c r="A187" s="50"/>
      <c r="B187" s="35"/>
      <c r="C187" s="152"/>
      <c r="D187" s="153"/>
      <c r="E187" s="153"/>
      <c r="F187" s="153"/>
      <c r="G187" s="153"/>
      <c r="H187" s="153"/>
      <c r="I187" s="154"/>
      <c r="J187" s="157"/>
      <c r="K187" s="158"/>
      <c r="L187" s="13"/>
    </row>
    <row r="188" spans="1:12" ht="15" customHeight="1">
      <c r="A188" s="50"/>
      <c r="B188" s="153"/>
      <c r="C188" s="152"/>
      <c r="D188" s="153"/>
      <c r="E188" s="159"/>
      <c r="F188" s="153"/>
      <c r="G188" s="153"/>
      <c r="H188" s="153"/>
      <c r="I188" s="154"/>
      <c r="J188" s="157"/>
      <c r="K188" s="158"/>
      <c r="L188" s="13"/>
    </row>
    <row r="189" spans="1:12" ht="15" customHeight="1">
      <c r="A189" s="50"/>
      <c r="B189" s="153"/>
      <c r="C189" s="152"/>
      <c r="D189" s="153"/>
      <c r="E189" s="159"/>
      <c r="F189" s="153"/>
      <c r="G189" s="153"/>
      <c r="H189" s="153"/>
      <c r="I189" s="154"/>
      <c r="J189" s="157"/>
      <c r="K189" s="158"/>
      <c r="L189" s="13"/>
    </row>
    <row r="190" spans="1:12" ht="15" customHeight="1">
      <c r="A190" s="50"/>
      <c r="B190" s="35"/>
      <c r="C190" s="152"/>
      <c r="D190" s="153"/>
      <c r="E190" s="153"/>
      <c r="F190" s="153"/>
      <c r="G190" s="153"/>
      <c r="H190" s="153"/>
      <c r="I190" s="154"/>
      <c r="J190" s="155"/>
      <c r="K190" s="156"/>
      <c r="L190" s="13"/>
    </row>
    <row r="191" spans="1:12" ht="15" customHeight="1">
      <c r="A191" s="86"/>
      <c r="B191" s="51" t="s">
        <v>2</v>
      </c>
      <c r="C191" s="50"/>
      <c r="D191" s="50" t="s">
        <v>0</v>
      </c>
      <c r="E191" s="50"/>
      <c r="F191" s="51"/>
      <c r="G191" s="50"/>
      <c r="H191" s="50"/>
      <c r="I191" s="50" t="s">
        <v>67</v>
      </c>
      <c r="J191" s="50"/>
      <c r="K191" s="51"/>
      <c r="L191" s="13"/>
    </row>
    <row r="192" spans="1:12" ht="15" customHeight="1">
      <c r="A192" s="86"/>
      <c r="B192" s="68"/>
      <c r="C192" s="50"/>
      <c r="D192" s="40" t="s">
        <v>68</v>
      </c>
      <c r="E192" s="50"/>
      <c r="F192" s="51"/>
      <c r="G192" s="50"/>
      <c r="H192" s="50"/>
      <c r="I192" s="40" t="s">
        <v>69</v>
      </c>
      <c r="J192" s="50"/>
      <c r="K192" s="51"/>
      <c r="L192" s="13"/>
    </row>
    <row r="193" spans="1:12" ht="15" customHeight="1">
      <c r="A193" s="86"/>
      <c r="B193" s="68"/>
      <c r="C193" s="50"/>
      <c r="D193" s="79" t="s">
        <v>1</v>
      </c>
      <c r="E193" s="50"/>
      <c r="F193" s="51"/>
      <c r="G193" s="50"/>
      <c r="H193" s="50"/>
      <c r="I193" s="79" t="s">
        <v>1</v>
      </c>
      <c r="J193" s="50"/>
      <c r="K193" s="51"/>
      <c r="L193" s="13"/>
    </row>
    <row r="194" spans="1:12" ht="15" customHeight="1">
      <c r="A194" s="50"/>
      <c r="B194" s="35"/>
      <c r="C194" s="38"/>
      <c r="D194" s="111"/>
      <c r="E194" s="111"/>
      <c r="F194" s="111"/>
      <c r="G194" s="111"/>
      <c r="H194" s="111"/>
      <c r="I194" s="41"/>
      <c r="J194" s="112"/>
      <c r="K194" s="113"/>
      <c r="L194" s="13"/>
    </row>
    <row r="195" spans="1:12" ht="15" customHeight="1">
      <c r="A195" s="50"/>
      <c r="B195" s="35"/>
      <c r="C195" s="38"/>
      <c r="D195" s="111"/>
      <c r="E195" s="111"/>
      <c r="F195" s="111"/>
      <c r="G195" s="111"/>
      <c r="H195" s="111"/>
      <c r="I195" s="41"/>
      <c r="J195" s="112"/>
      <c r="K195" s="113"/>
      <c r="L195" s="13"/>
    </row>
    <row r="196" spans="1:12" ht="15" customHeight="1">
      <c r="E196" s="7"/>
      <c r="F196" s="7"/>
      <c r="I196" s="8"/>
      <c r="J196" s="8"/>
      <c r="K196" s="7"/>
      <c r="L196" s="13"/>
    </row>
    <row r="197" spans="1:12" ht="15" customHeight="1">
      <c r="L197" s="13"/>
    </row>
    <row r="198" spans="1:12" ht="15" customHeight="1">
      <c r="L198" s="13"/>
    </row>
    <row r="199" spans="1:12" ht="15" customHeight="1">
      <c r="L199" s="13"/>
    </row>
    <row r="200" spans="1:12" ht="15" customHeight="1">
      <c r="L200" s="13"/>
    </row>
    <row r="201" spans="1:12" ht="15" customHeight="1">
      <c r="L201" s="13"/>
    </row>
    <row r="202" spans="1:12" ht="15" customHeight="1">
      <c r="L202" s="13"/>
    </row>
    <row r="203" spans="1:12" ht="15" customHeight="1">
      <c r="L203" s="13"/>
    </row>
    <row r="204" spans="1:12" ht="15" customHeight="1">
      <c r="L204" s="13"/>
    </row>
    <row r="205" spans="1:12" ht="15" customHeight="1">
      <c r="L205" s="13"/>
    </row>
    <row r="206" spans="1:12" ht="15" customHeight="1">
      <c r="L206" s="13"/>
    </row>
    <row r="207" spans="1:12" ht="15" customHeight="1">
      <c r="L207" s="13"/>
    </row>
    <row r="208" spans="1:12" ht="15" customHeight="1">
      <c r="L208" s="13"/>
    </row>
    <row r="209" spans="12:12" ht="15" customHeight="1">
      <c r="L209" s="13"/>
    </row>
    <row r="210" spans="12:12" ht="15" customHeight="1">
      <c r="L210" s="13"/>
    </row>
    <row r="211" spans="12:12" ht="15" customHeight="1">
      <c r="L211" s="13"/>
    </row>
    <row r="212" spans="12:12" ht="15" customHeight="1">
      <c r="L212" s="13"/>
    </row>
    <row r="213" spans="12:12" ht="15" customHeight="1">
      <c r="L213" s="13"/>
    </row>
    <row r="214" spans="12:12" ht="15" customHeight="1">
      <c r="L214" s="13"/>
    </row>
    <row r="215" spans="12:12" ht="15" customHeight="1">
      <c r="L215" s="13"/>
    </row>
    <row r="216" spans="12:12" ht="15" customHeight="1">
      <c r="L216" s="13"/>
    </row>
    <row r="217" spans="12:12" ht="15" customHeight="1">
      <c r="L217" s="13"/>
    </row>
    <row r="218" spans="12:12" ht="15" customHeight="1">
      <c r="L218" s="13"/>
    </row>
    <row r="219" spans="12:12" ht="15" customHeight="1">
      <c r="L219" s="13"/>
    </row>
    <row r="220" spans="12:12" ht="15" customHeight="1">
      <c r="L220" s="13"/>
    </row>
    <row r="221" spans="12:12" ht="15" customHeight="1">
      <c r="L221" s="13"/>
    </row>
    <row r="222" spans="12:12" ht="15" customHeight="1">
      <c r="L222" s="13"/>
    </row>
    <row r="223" spans="12:12" ht="15" customHeight="1">
      <c r="L223" s="13"/>
    </row>
    <row r="224" spans="12:12" ht="15" customHeight="1">
      <c r="L224" s="13"/>
    </row>
    <row r="225" spans="12:12" ht="15" customHeight="1">
      <c r="L225" s="13"/>
    </row>
    <row r="226" spans="12:12" ht="15" customHeight="1">
      <c r="L226" s="13"/>
    </row>
    <row r="227" spans="12:12" ht="15" customHeight="1">
      <c r="L227" s="13"/>
    </row>
    <row r="228" spans="12:12" ht="15" customHeight="1">
      <c r="L228" s="13"/>
    </row>
    <row r="229" spans="12:12" ht="15" customHeight="1">
      <c r="L229" s="13"/>
    </row>
    <row r="230" spans="12:12" ht="15" customHeight="1">
      <c r="L230" s="13"/>
    </row>
    <row r="231" spans="12:12" ht="15" customHeight="1">
      <c r="L231" s="13"/>
    </row>
    <row r="232" spans="12:12" ht="15" customHeight="1">
      <c r="L232" s="13"/>
    </row>
    <row r="233" spans="12:12" ht="15" customHeight="1">
      <c r="L233" s="13"/>
    </row>
    <row r="234" spans="12:12" ht="15" customHeight="1">
      <c r="L234" s="13"/>
    </row>
    <row r="235" spans="12:12" ht="15" customHeight="1">
      <c r="L235" s="13"/>
    </row>
    <row r="236" spans="12:12" ht="15" customHeight="1">
      <c r="L236" s="13"/>
    </row>
    <row r="237" spans="12:12" ht="15" customHeight="1">
      <c r="L237" s="13"/>
    </row>
    <row r="238" spans="12:12" ht="15" customHeight="1">
      <c r="L238" s="13"/>
    </row>
    <row r="239" spans="12:12" ht="15" customHeight="1">
      <c r="L239" s="13"/>
    </row>
    <row r="240" spans="12:12" ht="15" customHeight="1">
      <c r="L240" s="13"/>
    </row>
    <row r="241" spans="12:12" ht="15" customHeight="1">
      <c r="L241" s="13"/>
    </row>
    <row r="242" spans="12:12" ht="15" customHeight="1">
      <c r="L242" s="13"/>
    </row>
    <row r="243" spans="12:12" ht="15" customHeight="1">
      <c r="L243" s="13"/>
    </row>
    <row r="244" spans="12:12" ht="15" customHeight="1">
      <c r="L244" s="13"/>
    </row>
    <row r="245" spans="12:12" ht="15" customHeight="1">
      <c r="L245" s="13"/>
    </row>
    <row r="246" spans="12:12" ht="15" customHeight="1">
      <c r="L246" s="13"/>
    </row>
    <row r="247" spans="12:12" ht="15" customHeight="1">
      <c r="L247" s="13"/>
    </row>
    <row r="248" spans="12:12" ht="15" customHeight="1">
      <c r="L248" s="13"/>
    </row>
    <row r="249" spans="12:12" ht="15" customHeight="1">
      <c r="L249" s="13"/>
    </row>
    <row r="250" spans="12:12" ht="15" customHeight="1">
      <c r="L250" s="13"/>
    </row>
    <row r="251" spans="12:12" ht="15" customHeight="1">
      <c r="L251" s="13"/>
    </row>
    <row r="252" spans="12:12" ht="15" customHeight="1">
      <c r="L252" s="13"/>
    </row>
    <row r="253" spans="12:12" ht="15" customHeight="1">
      <c r="L253" s="13"/>
    </row>
    <row r="254" spans="12:12" ht="15" customHeight="1">
      <c r="L254" s="13"/>
    </row>
    <row r="255" spans="12:12" ht="15" customHeight="1">
      <c r="L255" s="13"/>
    </row>
    <row r="256" spans="12:12" ht="15" customHeight="1">
      <c r="L256" s="13"/>
    </row>
    <row r="257" spans="12:12" ht="15" customHeight="1">
      <c r="L257" s="13"/>
    </row>
    <row r="258" spans="12:12" ht="15" customHeight="1">
      <c r="L258" s="13"/>
    </row>
    <row r="259" spans="12:12" ht="15" customHeight="1">
      <c r="L259" s="13"/>
    </row>
    <row r="260" spans="12:12" ht="15" customHeight="1">
      <c r="L260" s="13"/>
    </row>
    <row r="261" spans="12:12" ht="15" customHeight="1">
      <c r="L261" s="13"/>
    </row>
    <row r="262" spans="12:12" ht="15" customHeight="1">
      <c r="L262" s="13"/>
    </row>
    <row r="263" spans="12:12" ht="15" customHeight="1">
      <c r="L263" s="13"/>
    </row>
    <row r="264" spans="12:12" ht="15" customHeight="1">
      <c r="L264" s="13"/>
    </row>
    <row r="265" spans="12:12" ht="15" customHeight="1">
      <c r="L265" s="13"/>
    </row>
    <row r="266" spans="12:12" ht="15" customHeight="1">
      <c r="L266" s="13"/>
    </row>
    <row r="267" spans="12:12" ht="15" customHeight="1">
      <c r="L267" s="13"/>
    </row>
    <row r="268" spans="12:12" ht="15" customHeight="1">
      <c r="L268" s="13"/>
    </row>
    <row r="269" spans="12:12" ht="15" customHeight="1">
      <c r="L269" s="13"/>
    </row>
    <row r="270" spans="12:12" ht="15" customHeight="1">
      <c r="L270" s="13"/>
    </row>
    <row r="271" spans="12:12" ht="15" customHeight="1">
      <c r="L271" s="13"/>
    </row>
    <row r="272" spans="12:12" ht="15" customHeight="1">
      <c r="L272" s="13"/>
    </row>
    <row r="273" spans="12:12" ht="15" customHeight="1">
      <c r="L273" s="13"/>
    </row>
    <row r="274" spans="12:12" ht="15" customHeight="1">
      <c r="L274" s="13"/>
    </row>
    <row r="275" spans="12:12" ht="15" customHeight="1">
      <c r="L275" s="13"/>
    </row>
    <row r="276" spans="12:12" ht="15" customHeight="1">
      <c r="L276" s="13"/>
    </row>
    <row r="277" spans="12:12" ht="15" customHeight="1">
      <c r="L277" s="13"/>
    </row>
    <row r="278" spans="12:12" ht="15" customHeight="1">
      <c r="L278" s="13"/>
    </row>
    <row r="279" spans="12:12" ht="15" customHeight="1">
      <c r="L279" s="13"/>
    </row>
    <row r="280" spans="12:12" ht="15" customHeight="1">
      <c r="L280" s="13"/>
    </row>
    <row r="281" spans="12:12" ht="15" customHeight="1">
      <c r="L281" s="13"/>
    </row>
    <row r="282" spans="12:12" ht="15" customHeight="1">
      <c r="L282" s="13"/>
    </row>
    <row r="283" spans="12:12" ht="15" customHeight="1">
      <c r="L283" s="13"/>
    </row>
    <row r="284" spans="12:12" ht="15" customHeight="1">
      <c r="L284" s="13"/>
    </row>
    <row r="285" spans="12:12" ht="15" customHeight="1">
      <c r="L285" s="13"/>
    </row>
    <row r="286" spans="12:12" ht="15" customHeight="1">
      <c r="L286" s="13"/>
    </row>
    <row r="287" spans="12:12" ht="15" customHeight="1">
      <c r="L287" s="13"/>
    </row>
    <row r="288" spans="12:12" ht="15" customHeight="1">
      <c r="L288" s="13"/>
    </row>
    <row r="289" spans="12:12" ht="15" customHeight="1">
      <c r="L289" s="13"/>
    </row>
    <row r="290" spans="12:12" ht="15" customHeight="1">
      <c r="L290" s="13"/>
    </row>
    <row r="291" spans="12:12" ht="15" customHeight="1">
      <c r="L291" s="13"/>
    </row>
    <row r="292" spans="12:12" ht="15" customHeight="1">
      <c r="L292" s="13"/>
    </row>
    <row r="293" spans="12:12" ht="15" customHeight="1">
      <c r="L293" s="13"/>
    </row>
    <row r="294" spans="12:12" ht="15" customHeight="1">
      <c r="L294" s="13"/>
    </row>
    <row r="295" spans="12:12" ht="15" customHeight="1">
      <c r="L295" s="13"/>
    </row>
    <row r="296" spans="12:12" ht="15" customHeight="1">
      <c r="L296" s="13"/>
    </row>
    <row r="297" spans="12:12" ht="15" customHeight="1">
      <c r="L297" s="32"/>
    </row>
    <row r="298" spans="12:12" ht="15" customHeight="1">
      <c r="L298" s="13"/>
    </row>
    <row r="299" spans="12:12" ht="15" customHeight="1">
      <c r="L299" s="13"/>
    </row>
    <row r="300" spans="12:12" ht="15" customHeight="1">
      <c r="L300" s="13"/>
    </row>
    <row r="301" spans="12:12" ht="15" customHeight="1">
      <c r="L301" s="13"/>
    </row>
    <row r="302" spans="12:12" ht="15" customHeight="1">
      <c r="L302" s="13"/>
    </row>
    <row r="303" spans="12:12" ht="15" customHeight="1">
      <c r="L303" s="13"/>
    </row>
    <row r="304" spans="12:12" ht="15" customHeight="1">
      <c r="L304" s="13"/>
    </row>
    <row r="305" spans="12:12" ht="15" customHeight="1"/>
    <row r="306" spans="12:12" ht="15" customHeight="1"/>
    <row r="307" spans="12:12" ht="15" customHeight="1"/>
    <row r="308" spans="12:12" ht="15" customHeight="1"/>
    <row r="309" spans="12:12" ht="15" customHeight="1">
      <c r="L309" s="13"/>
    </row>
    <row r="310" spans="12:12" ht="15" customHeight="1">
      <c r="L310" s="13"/>
    </row>
    <row r="311" spans="12:12" ht="15" customHeight="1">
      <c r="L311" s="13"/>
    </row>
    <row r="312" spans="12:12" ht="15" customHeight="1">
      <c r="L312" s="13"/>
    </row>
    <row r="313" spans="12:12" ht="15" customHeight="1">
      <c r="L313" s="13"/>
    </row>
    <row r="314" spans="12:12" ht="15" customHeight="1">
      <c r="L314" s="13"/>
    </row>
    <row r="315" spans="12:12" ht="15" customHeight="1">
      <c r="L315" s="13"/>
    </row>
    <row r="316" spans="12:12" ht="15" customHeight="1">
      <c r="L316" s="13"/>
    </row>
    <row r="317" spans="12:12" ht="15" customHeight="1">
      <c r="L317" s="13"/>
    </row>
    <row r="318" spans="12:12" ht="15" customHeight="1">
      <c r="L318" s="13"/>
    </row>
    <row r="319" spans="12:12" ht="15" customHeight="1">
      <c r="L319" s="13"/>
    </row>
    <row r="320" spans="12:12" ht="15" customHeight="1">
      <c r="L320" s="13"/>
    </row>
    <row r="321" spans="12:12" ht="15" customHeight="1">
      <c r="L321" s="13"/>
    </row>
    <row r="322" spans="12:12" ht="15" customHeight="1">
      <c r="L322" s="13"/>
    </row>
    <row r="323" spans="12:12" ht="15" customHeight="1">
      <c r="L323" s="13"/>
    </row>
    <row r="324" spans="12:12" ht="15" customHeight="1">
      <c r="L324" s="13"/>
    </row>
    <row r="325" spans="12:12" ht="15" customHeight="1">
      <c r="L325" s="13"/>
    </row>
    <row r="326" spans="12:12" ht="15" customHeight="1">
      <c r="L326" s="13"/>
    </row>
    <row r="327" spans="12:12" ht="15" customHeight="1">
      <c r="L327" s="13"/>
    </row>
    <row r="328" spans="12:12" ht="15" customHeight="1">
      <c r="L328" s="13"/>
    </row>
    <row r="329" spans="12:12" ht="15" customHeight="1">
      <c r="L329" s="13"/>
    </row>
    <row r="330" spans="12:12" ht="15" customHeight="1">
      <c r="L330" s="13"/>
    </row>
    <row r="331" spans="12:12" ht="15" customHeight="1">
      <c r="L331" s="13"/>
    </row>
    <row r="332" spans="12:12" ht="15" customHeight="1">
      <c r="L332" s="13"/>
    </row>
    <row r="333" spans="12:12" ht="15" customHeight="1">
      <c r="L333" s="13"/>
    </row>
    <row r="334" spans="12:12" ht="15" customHeight="1">
      <c r="L334" s="13"/>
    </row>
    <row r="335" spans="12:12" ht="15" customHeight="1">
      <c r="L335" s="13"/>
    </row>
    <row r="336" spans="12:12" ht="15" customHeight="1">
      <c r="L336" s="13"/>
    </row>
    <row r="337" spans="12:12">
      <c r="L337" s="13"/>
    </row>
    <row r="338" spans="12:12">
      <c r="L338" s="13"/>
    </row>
    <row r="339" spans="12:12">
      <c r="L339" s="13"/>
    </row>
    <row r="340" spans="12:12">
      <c r="L340" s="13"/>
    </row>
    <row r="341" spans="12:12">
      <c r="L341" s="13"/>
    </row>
    <row r="342" spans="12:12">
      <c r="L342" s="13"/>
    </row>
    <row r="343" spans="12:12">
      <c r="L343" s="13"/>
    </row>
    <row r="344" spans="12:12">
      <c r="L344" s="13"/>
    </row>
    <row r="345" spans="12:12">
      <c r="L345" s="13"/>
    </row>
    <row r="346" spans="12:12">
      <c r="L346" s="13"/>
    </row>
    <row r="347" spans="12:12">
      <c r="L347" s="13"/>
    </row>
    <row r="348" spans="12:12">
      <c r="L348" s="13"/>
    </row>
    <row r="349" spans="12:12">
      <c r="L349" s="13"/>
    </row>
    <row r="350" spans="12:12">
      <c r="L350" s="13"/>
    </row>
    <row r="351" spans="12:12">
      <c r="L351" s="13"/>
    </row>
    <row r="352" spans="12:12">
      <c r="L352" s="13"/>
    </row>
    <row r="353" spans="12:12">
      <c r="L353" s="13"/>
    </row>
    <row r="354" spans="12:12">
      <c r="L354" s="1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4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60" t="s">
        <v>3</v>
      </c>
      <c r="B1" s="260"/>
      <c r="C1" s="256" t="s">
        <v>264</v>
      </c>
      <c r="D1" s="256"/>
      <c r="E1" s="256"/>
      <c r="F1" s="256"/>
      <c r="G1" s="256"/>
      <c r="H1" s="256"/>
      <c r="I1" s="256"/>
      <c r="J1" s="256"/>
      <c r="K1" s="256"/>
    </row>
    <row r="2" spans="1:11" ht="15" customHeight="1">
      <c r="C2" s="256"/>
      <c r="D2" s="256"/>
      <c r="E2" s="256"/>
      <c r="F2" s="256"/>
      <c r="G2" s="256"/>
      <c r="H2" s="256"/>
      <c r="I2" s="256"/>
      <c r="J2" s="256"/>
      <c r="K2" s="256"/>
    </row>
    <row r="3" spans="1:11" ht="24" customHeight="1">
      <c r="C3" s="256"/>
      <c r="D3" s="256"/>
      <c r="E3" s="256"/>
      <c r="F3" s="256"/>
      <c r="G3" s="256"/>
      <c r="H3" s="256"/>
      <c r="I3" s="256"/>
      <c r="J3" s="256"/>
      <c r="K3" s="256"/>
    </row>
    <row r="4" spans="1:11" ht="15.75">
      <c r="D4" s="119" t="s">
        <v>84</v>
      </c>
      <c r="E4" s="111"/>
      <c r="H4" s="14"/>
    </row>
    <row r="5" spans="1:11" ht="15" customHeight="1">
      <c r="F5" s="11"/>
    </row>
    <row r="6" spans="1:11" ht="15" customHeight="1">
      <c r="A6" s="117" t="s">
        <v>15</v>
      </c>
      <c r="B6" s="261" t="s">
        <v>17</v>
      </c>
      <c r="C6" s="261"/>
      <c r="D6" s="261"/>
      <c r="E6" s="262" t="s">
        <v>18</v>
      </c>
      <c r="F6" s="262"/>
      <c r="G6" s="262"/>
      <c r="H6" s="262"/>
      <c r="I6" s="12"/>
      <c r="J6" s="263" t="s">
        <v>13</v>
      </c>
      <c r="K6" s="263"/>
    </row>
    <row r="7" spans="1:11" ht="15.75">
      <c r="A7" s="7"/>
      <c r="B7" s="35" t="s">
        <v>85</v>
      </c>
      <c r="C7" s="1"/>
    </row>
    <row r="8" spans="1:11" ht="15.75">
      <c r="A8" s="7"/>
      <c r="B8" s="35" t="s">
        <v>86</v>
      </c>
      <c r="C8" s="1"/>
    </row>
    <row r="9" spans="1:11" ht="15.75">
      <c r="A9" s="50"/>
      <c r="B9" s="33" t="s">
        <v>87</v>
      </c>
      <c r="C9" s="38"/>
      <c r="D9" s="111"/>
      <c r="E9" s="111" t="s">
        <v>177</v>
      </c>
      <c r="F9" s="111"/>
      <c r="G9" s="111"/>
      <c r="H9" s="111"/>
      <c r="I9" s="41"/>
      <c r="J9" s="112">
        <f>1*2*160*7.5*1.042</f>
        <v>2500.8000000000002</v>
      </c>
      <c r="K9" s="113" t="s">
        <v>130</v>
      </c>
    </row>
    <row r="10" spans="1:11" ht="15.75">
      <c r="A10" s="50"/>
      <c r="B10" s="33" t="s">
        <v>88</v>
      </c>
      <c r="C10" s="38"/>
      <c r="D10" s="111"/>
      <c r="E10" s="111" t="s">
        <v>178</v>
      </c>
      <c r="F10" s="111"/>
      <c r="G10" s="111"/>
      <c r="H10" s="111"/>
      <c r="I10" s="41"/>
      <c r="J10" s="116">
        <f>1*2*18*54*1.042</f>
        <v>2025.6480000000001</v>
      </c>
      <c r="K10" s="113" t="s">
        <v>130</v>
      </c>
    </row>
    <row r="11" spans="1:11" ht="15.75">
      <c r="A11" s="50"/>
      <c r="B11" s="33" t="s">
        <v>89</v>
      </c>
      <c r="C11" s="38"/>
      <c r="D11" s="111"/>
      <c r="E11" s="111" t="s">
        <v>179</v>
      </c>
      <c r="F11" s="111"/>
      <c r="G11" s="111"/>
      <c r="H11" s="111"/>
      <c r="I11" s="41"/>
      <c r="J11" s="116">
        <f>1*2*33*7.5*1.042</f>
        <v>515.79</v>
      </c>
      <c r="K11" s="113" t="s">
        <v>130</v>
      </c>
    </row>
    <row r="12" spans="1:11" ht="15.75">
      <c r="A12" s="50"/>
      <c r="B12" s="33" t="s">
        <v>88</v>
      </c>
      <c r="C12" s="38"/>
      <c r="D12" s="111"/>
      <c r="E12" s="111" t="s">
        <v>180</v>
      </c>
      <c r="F12" s="111"/>
      <c r="G12" s="111"/>
      <c r="H12" s="111"/>
      <c r="I12" s="41"/>
      <c r="J12" s="116">
        <f>1*2*18*12.5*1.042</f>
        <v>468.90000000000003</v>
      </c>
      <c r="K12" s="113" t="s">
        <v>130</v>
      </c>
    </row>
    <row r="13" spans="1:11" ht="15.75">
      <c r="A13" s="50"/>
      <c r="B13" s="33" t="s">
        <v>90</v>
      </c>
      <c r="C13" s="38"/>
      <c r="D13" s="111"/>
      <c r="E13" s="111" t="s">
        <v>181</v>
      </c>
      <c r="F13" s="111"/>
      <c r="G13" s="111"/>
      <c r="H13" s="111"/>
      <c r="I13" s="41"/>
      <c r="J13" s="116">
        <f>1*2*160*6.5*1.042</f>
        <v>2167.36</v>
      </c>
      <c r="K13" s="113" t="s">
        <v>130</v>
      </c>
    </row>
    <row r="14" spans="1:11" ht="15.75">
      <c r="A14" s="50"/>
      <c r="B14" s="33" t="s">
        <v>88</v>
      </c>
      <c r="C14" s="38"/>
      <c r="D14" s="111"/>
      <c r="E14" s="111" t="s">
        <v>182</v>
      </c>
      <c r="F14" s="111"/>
      <c r="G14" s="111"/>
      <c r="H14" s="111"/>
      <c r="I14" s="41"/>
      <c r="J14" s="116">
        <f>1*2*15*54*1.042</f>
        <v>1688.04</v>
      </c>
      <c r="K14" s="113" t="s">
        <v>130</v>
      </c>
    </row>
    <row r="15" spans="1:11" ht="15.75">
      <c r="A15" s="50"/>
      <c r="B15" s="33" t="s">
        <v>90</v>
      </c>
      <c r="C15" s="38"/>
      <c r="D15" s="111"/>
      <c r="E15" s="111" t="s">
        <v>183</v>
      </c>
      <c r="F15" s="111"/>
      <c r="G15" s="111"/>
      <c r="H15" s="111"/>
      <c r="I15" s="41"/>
      <c r="J15" s="116">
        <f>1*2*30*6.5*1.042</f>
        <v>406.38</v>
      </c>
      <c r="K15" s="113" t="s">
        <v>130</v>
      </c>
    </row>
    <row r="16" spans="1:11" ht="15.75">
      <c r="A16" s="50"/>
      <c r="B16" s="33" t="s">
        <v>88</v>
      </c>
      <c r="C16" s="38"/>
      <c r="D16" s="111"/>
      <c r="E16" s="111" t="s">
        <v>184</v>
      </c>
      <c r="F16" s="111"/>
      <c r="G16" s="111"/>
      <c r="H16" s="111"/>
      <c r="I16" s="41"/>
      <c r="J16" s="116">
        <f>1*2*15*11.5*1.042</f>
        <v>359.49</v>
      </c>
      <c r="K16" s="113" t="s">
        <v>130</v>
      </c>
    </row>
    <row r="17" spans="1:12" ht="15.75">
      <c r="A17" s="50"/>
      <c r="B17" s="33" t="s">
        <v>90</v>
      </c>
      <c r="C17" s="38"/>
      <c r="D17" s="111"/>
      <c r="E17" s="111" t="s">
        <v>185</v>
      </c>
      <c r="F17" s="111"/>
      <c r="G17" s="111"/>
      <c r="H17" s="111"/>
      <c r="I17" s="41"/>
      <c r="J17" s="116">
        <f>1*2*32*6.5*1.042</f>
        <v>433.47200000000004</v>
      </c>
      <c r="K17" s="113" t="s">
        <v>130</v>
      </c>
    </row>
    <row r="18" spans="1:12" ht="15.75">
      <c r="A18" s="50"/>
      <c r="B18" s="33" t="s">
        <v>88</v>
      </c>
      <c r="C18" s="38"/>
      <c r="D18" s="111"/>
      <c r="E18" s="111" t="s">
        <v>186</v>
      </c>
      <c r="F18" s="111"/>
      <c r="G18" s="111"/>
      <c r="H18" s="111"/>
      <c r="I18" s="41"/>
      <c r="J18" s="116">
        <f>1*2*15*12*1.042</f>
        <v>375.12</v>
      </c>
      <c r="K18" s="113" t="s">
        <v>130</v>
      </c>
    </row>
    <row r="19" spans="1:12" ht="15.75">
      <c r="A19" s="50"/>
      <c r="B19" s="33" t="s">
        <v>191</v>
      </c>
      <c r="C19" s="38"/>
      <c r="D19" s="111"/>
      <c r="E19" s="111" t="s">
        <v>187</v>
      </c>
      <c r="F19" s="111"/>
      <c r="G19" s="111"/>
      <c r="H19" s="111"/>
      <c r="I19" s="41"/>
      <c r="J19" s="116">
        <f>2*2*50*5.5*1.042</f>
        <v>1146.2</v>
      </c>
      <c r="K19" s="113" t="s">
        <v>130</v>
      </c>
    </row>
    <row r="20" spans="1:12" ht="15.75">
      <c r="A20" s="50"/>
      <c r="B20" s="33" t="s">
        <v>88</v>
      </c>
      <c r="C20" s="38"/>
      <c r="D20" s="111"/>
      <c r="E20" s="111" t="s">
        <v>188</v>
      </c>
      <c r="F20" s="111"/>
      <c r="G20" s="111"/>
      <c r="H20" s="111"/>
      <c r="I20" s="41"/>
      <c r="J20" s="116">
        <f>2*2*12*18*1.042</f>
        <v>900.28800000000001</v>
      </c>
      <c r="K20" s="113" t="s">
        <v>130</v>
      </c>
    </row>
    <row r="21" spans="1:12" ht="15" customHeight="1">
      <c r="A21" s="50"/>
      <c r="B21" s="33" t="s">
        <v>91</v>
      </c>
      <c r="C21" s="38"/>
      <c r="D21" s="111"/>
      <c r="E21" s="111" t="s">
        <v>189</v>
      </c>
      <c r="F21" s="111"/>
      <c r="G21" s="111"/>
      <c r="H21" s="111"/>
      <c r="I21" s="41"/>
      <c r="J21" s="116">
        <f>21*8*11*1.042</f>
        <v>1925.616</v>
      </c>
      <c r="K21" s="113" t="s">
        <v>130</v>
      </c>
      <c r="L21" s="13"/>
    </row>
    <row r="22" spans="1:12" ht="15" customHeight="1">
      <c r="A22" s="50"/>
      <c r="B22" s="33" t="s">
        <v>96</v>
      </c>
      <c r="C22" s="38"/>
      <c r="D22" s="111"/>
      <c r="E22" s="111" t="s">
        <v>190</v>
      </c>
      <c r="F22" s="111"/>
      <c r="G22" s="111"/>
      <c r="H22" s="111"/>
      <c r="I22" s="41"/>
      <c r="J22" s="116">
        <f>21*2*17*4*0.375</f>
        <v>1071</v>
      </c>
      <c r="K22" s="113" t="s">
        <v>130</v>
      </c>
      <c r="L22" s="13"/>
    </row>
    <row r="23" spans="1:12" ht="15" customHeight="1">
      <c r="A23" s="50"/>
      <c r="B23" s="33"/>
      <c r="C23" s="38"/>
      <c r="D23" s="111"/>
      <c r="E23" s="111"/>
      <c r="F23" s="111"/>
      <c r="G23" s="111"/>
      <c r="H23" s="111"/>
      <c r="I23" s="41"/>
      <c r="J23" s="144">
        <f>SUM(J9:J22)</f>
        <v>15984.104000000001</v>
      </c>
      <c r="K23" s="115" t="s">
        <v>130</v>
      </c>
      <c r="L23" s="13"/>
    </row>
    <row r="24" spans="1:12" ht="15" customHeight="1">
      <c r="A24" s="50"/>
      <c r="B24" s="33" t="s">
        <v>192</v>
      </c>
      <c r="C24" s="38"/>
      <c r="D24" s="111"/>
      <c r="E24" s="111"/>
      <c r="F24" s="111"/>
      <c r="G24" s="111"/>
      <c r="H24" s="111"/>
      <c r="I24" s="41"/>
      <c r="J24" s="116"/>
      <c r="K24" s="113"/>
      <c r="L24" s="13"/>
    </row>
    <row r="25" spans="1:12" ht="15" customHeight="1">
      <c r="A25" s="79"/>
      <c r="B25" s="33" t="s">
        <v>193</v>
      </c>
      <c r="C25" s="38"/>
      <c r="D25" s="111"/>
      <c r="E25" s="111" t="s">
        <v>194</v>
      </c>
      <c r="F25" s="111"/>
      <c r="G25" s="111"/>
      <c r="H25" s="111"/>
      <c r="I25" s="41"/>
      <c r="J25" s="116">
        <f>4*4*18*1.042</f>
        <v>300.096</v>
      </c>
      <c r="K25" s="113" t="s">
        <v>130</v>
      </c>
      <c r="L25" s="13"/>
    </row>
    <row r="26" spans="1:12" ht="15" customHeight="1">
      <c r="A26" s="79"/>
      <c r="B26" s="8" t="s">
        <v>205</v>
      </c>
      <c r="C26" s="38"/>
      <c r="D26" s="111"/>
      <c r="E26" s="111" t="s">
        <v>195</v>
      </c>
      <c r="F26" s="111"/>
      <c r="G26" s="111"/>
      <c r="H26" s="111"/>
      <c r="I26" s="41"/>
      <c r="J26" s="116">
        <f>4*2*16.5*0.667</f>
        <v>88.044000000000011</v>
      </c>
      <c r="K26" s="113" t="s">
        <v>130</v>
      </c>
      <c r="L26" s="13"/>
    </row>
    <row r="27" spans="1:12" ht="15" customHeight="1">
      <c r="A27" s="79"/>
      <c r="B27" s="33" t="s">
        <v>96</v>
      </c>
      <c r="C27" s="38"/>
      <c r="D27" s="111"/>
      <c r="E27" s="111" t="s">
        <v>196</v>
      </c>
      <c r="F27" s="111"/>
      <c r="G27" s="111"/>
      <c r="H27" s="111"/>
      <c r="I27" s="41"/>
      <c r="J27" s="116">
        <f>4*32*5*0.375</f>
        <v>240</v>
      </c>
      <c r="K27" s="113" t="s">
        <v>130</v>
      </c>
      <c r="L27" s="13"/>
    </row>
    <row r="28" spans="1:12" ht="15" customHeight="1">
      <c r="A28" s="50"/>
      <c r="B28" s="33" t="s">
        <v>97</v>
      </c>
      <c r="C28" s="38"/>
      <c r="D28" s="111"/>
      <c r="E28" s="111" t="s">
        <v>94</v>
      </c>
      <c r="F28" s="111"/>
      <c r="G28" s="111"/>
      <c r="H28" s="111"/>
      <c r="I28" s="41"/>
      <c r="J28" s="116">
        <f>1*4*25*1.042</f>
        <v>104.2</v>
      </c>
      <c r="K28" s="113" t="s">
        <v>130</v>
      </c>
      <c r="L28" s="13"/>
    </row>
    <row r="29" spans="1:12" ht="15" customHeight="1">
      <c r="A29" s="50"/>
      <c r="B29" s="8" t="s">
        <v>205</v>
      </c>
      <c r="C29" s="38"/>
      <c r="D29" s="111"/>
      <c r="E29" s="111" t="s">
        <v>197</v>
      </c>
      <c r="F29" s="111"/>
      <c r="G29" s="111"/>
      <c r="H29" s="111"/>
      <c r="I29" s="41"/>
      <c r="J29" s="116">
        <f>1*2*23.5*0.667</f>
        <v>31.349</v>
      </c>
      <c r="K29" s="113" t="s">
        <v>130</v>
      </c>
      <c r="L29" s="13"/>
    </row>
    <row r="30" spans="1:12" ht="15" customHeight="1">
      <c r="A30" s="50"/>
      <c r="B30" s="33" t="s">
        <v>96</v>
      </c>
      <c r="C30" s="38"/>
      <c r="D30" s="111"/>
      <c r="E30" s="111" t="s">
        <v>198</v>
      </c>
      <c r="F30" s="111"/>
      <c r="G30" s="111"/>
      <c r="H30" s="111"/>
      <c r="I30" s="41"/>
      <c r="J30" s="116">
        <f>1*42*5*0.375</f>
        <v>78.75</v>
      </c>
      <c r="K30" s="113" t="s">
        <v>130</v>
      </c>
      <c r="L30" s="13"/>
    </row>
    <row r="31" spans="1:12" ht="15" customHeight="1">
      <c r="A31" s="50"/>
      <c r="B31" s="33" t="s">
        <v>98</v>
      </c>
      <c r="C31" s="38"/>
      <c r="D31" s="111"/>
      <c r="E31" s="111" t="s">
        <v>199</v>
      </c>
      <c r="F31" s="111"/>
      <c r="G31" s="111"/>
      <c r="H31" s="111"/>
      <c r="I31" s="41"/>
      <c r="J31" s="116">
        <f>1*4*32.5*1.042</f>
        <v>135.46</v>
      </c>
      <c r="K31" s="113" t="s">
        <v>130</v>
      </c>
      <c r="L31" s="13"/>
    </row>
    <row r="32" spans="1:12" ht="15" customHeight="1">
      <c r="A32" s="50"/>
      <c r="B32" s="33" t="s">
        <v>96</v>
      </c>
      <c r="C32" s="38"/>
      <c r="D32" s="111"/>
      <c r="E32" s="111" t="s">
        <v>200</v>
      </c>
      <c r="F32" s="111"/>
      <c r="G32" s="111"/>
      <c r="H32" s="111"/>
      <c r="I32" s="41"/>
      <c r="J32" s="116">
        <f>1*52*5*0.375</f>
        <v>97.5</v>
      </c>
      <c r="K32" s="113" t="s">
        <v>130</v>
      </c>
      <c r="L32" s="13"/>
    </row>
    <row r="33" spans="1:12" ht="15" customHeight="1">
      <c r="A33" s="50"/>
      <c r="B33" s="111" t="s">
        <v>99</v>
      </c>
      <c r="C33" s="38"/>
      <c r="D33" s="111"/>
      <c r="E33" s="111" t="s">
        <v>201</v>
      </c>
      <c r="F33" s="111"/>
      <c r="G33" s="111"/>
      <c r="H33" s="111"/>
      <c r="I33" s="41"/>
      <c r="J33" s="116">
        <f>1*5*15*1.042</f>
        <v>78.150000000000006</v>
      </c>
      <c r="K33" s="113" t="s">
        <v>130</v>
      </c>
      <c r="L33" s="13"/>
    </row>
    <row r="34" spans="1:12" ht="15" customHeight="1">
      <c r="A34" s="50"/>
      <c r="B34" s="33" t="s">
        <v>96</v>
      </c>
      <c r="C34" s="38"/>
      <c r="D34" s="111"/>
      <c r="E34" s="111" t="s">
        <v>202</v>
      </c>
      <c r="F34" s="111"/>
      <c r="G34" s="111"/>
      <c r="H34" s="111"/>
      <c r="I34" s="41"/>
      <c r="J34" s="116">
        <f>1*27*5*0.375</f>
        <v>50.625</v>
      </c>
      <c r="K34" s="113" t="s">
        <v>130</v>
      </c>
      <c r="L34" s="13"/>
    </row>
    <row r="35" spans="1:12" ht="15" customHeight="1">
      <c r="A35" s="50"/>
      <c r="B35" s="8" t="s">
        <v>101</v>
      </c>
      <c r="C35" s="38"/>
      <c r="D35" s="111"/>
      <c r="E35" s="111" t="s">
        <v>203</v>
      </c>
      <c r="F35" s="111"/>
      <c r="G35" s="111"/>
      <c r="H35" s="111"/>
      <c r="I35" s="41"/>
      <c r="J35" s="116">
        <f>1*4*24*1.042</f>
        <v>100.03200000000001</v>
      </c>
      <c r="K35" s="113" t="s">
        <v>130</v>
      </c>
      <c r="L35" s="13"/>
    </row>
    <row r="36" spans="1:12" ht="15" customHeight="1">
      <c r="B36" s="8" t="s">
        <v>100</v>
      </c>
      <c r="E36" s="111" t="s">
        <v>204</v>
      </c>
      <c r="J36" s="9">
        <f>1*2*22.5*0.667</f>
        <v>30.015000000000001</v>
      </c>
      <c r="K36" s="113" t="s">
        <v>130</v>
      </c>
      <c r="L36" s="13"/>
    </row>
    <row r="37" spans="1:12" ht="15" customHeight="1">
      <c r="B37" s="8" t="s">
        <v>96</v>
      </c>
      <c r="E37" s="111" t="s">
        <v>95</v>
      </c>
      <c r="J37" s="9">
        <f>1*40*5*0.375</f>
        <v>75</v>
      </c>
      <c r="K37" s="113" t="s">
        <v>130</v>
      </c>
      <c r="L37" s="13"/>
    </row>
    <row r="38" spans="1:12" ht="15" customHeight="1">
      <c r="A38" s="50"/>
      <c r="B38" s="8" t="s">
        <v>102</v>
      </c>
      <c r="C38" s="38"/>
      <c r="D38" s="111"/>
      <c r="E38" s="8" t="s">
        <v>206</v>
      </c>
      <c r="F38" s="111"/>
      <c r="G38" s="111"/>
      <c r="H38" s="111"/>
      <c r="I38" s="41"/>
      <c r="J38" s="116">
        <f>1*4*23.5*1.042</f>
        <v>97.948000000000008</v>
      </c>
      <c r="K38" s="113" t="s">
        <v>130</v>
      </c>
      <c r="L38" s="13"/>
    </row>
    <row r="39" spans="1:12" ht="15" customHeight="1">
      <c r="A39" s="50"/>
      <c r="B39" s="111" t="s">
        <v>96</v>
      </c>
      <c r="C39" s="38"/>
      <c r="D39" s="111"/>
      <c r="E39" s="8" t="s">
        <v>207</v>
      </c>
      <c r="F39" s="111"/>
      <c r="G39" s="111"/>
      <c r="H39" s="111"/>
      <c r="I39" s="41"/>
      <c r="J39" s="121">
        <f>1*43*5*0.375</f>
        <v>80.625</v>
      </c>
      <c r="K39" s="113" t="s">
        <v>130</v>
      </c>
      <c r="L39" s="13"/>
    </row>
    <row r="40" spans="1:12" ht="15" customHeight="1">
      <c r="A40" s="50"/>
      <c r="B40" s="33" t="s">
        <v>103</v>
      </c>
      <c r="C40" s="38"/>
      <c r="D40" s="111"/>
      <c r="E40" s="8" t="s">
        <v>208</v>
      </c>
      <c r="F40" s="111"/>
      <c r="G40" s="111"/>
      <c r="H40" s="111"/>
      <c r="I40" s="41"/>
      <c r="J40" s="121">
        <f>3*4*13.5*1.042</f>
        <v>168.804</v>
      </c>
      <c r="K40" s="113" t="s">
        <v>130</v>
      </c>
      <c r="L40" s="13"/>
    </row>
    <row r="41" spans="1:12" ht="15" customHeight="1">
      <c r="A41" s="50"/>
      <c r="B41" s="33" t="s">
        <v>96</v>
      </c>
      <c r="C41" s="38"/>
      <c r="D41" s="111"/>
      <c r="E41" s="111" t="s">
        <v>209</v>
      </c>
      <c r="F41" s="111"/>
      <c r="G41" s="111"/>
      <c r="H41" s="111"/>
      <c r="I41" s="41"/>
      <c r="J41" s="116">
        <f>3*24*5*0.375</f>
        <v>135</v>
      </c>
      <c r="K41" s="113" t="s">
        <v>130</v>
      </c>
      <c r="L41" s="13"/>
    </row>
    <row r="42" spans="1:12" ht="15" customHeight="1">
      <c r="A42" s="50"/>
      <c r="B42" s="8" t="s">
        <v>104</v>
      </c>
      <c r="C42" s="38"/>
      <c r="D42" s="111"/>
      <c r="E42" s="111" t="s">
        <v>210</v>
      </c>
      <c r="F42" s="111"/>
      <c r="G42" s="111"/>
      <c r="H42" s="111"/>
      <c r="I42" s="41"/>
      <c r="J42" s="116">
        <f>1*4*33*1.042</f>
        <v>137.54400000000001</v>
      </c>
      <c r="K42" s="113" t="s">
        <v>130</v>
      </c>
      <c r="L42" s="13"/>
    </row>
    <row r="43" spans="1:12" ht="15" customHeight="1">
      <c r="A43" s="50"/>
      <c r="B43" s="111" t="s">
        <v>96</v>
      </c>
      <c r="C43" s="38"/>
      <c r="D43" s="111"/>
      <c r="E43" s="111" t="s">
        <v>211</v>
      </c>
      <c r="F43" s="111"/>
      <c r="G43" s="111"/>
      <c r="H43" s="111"/>
      <c r="I43" s="41"/>
      <c r="J43" s="116">
        <f>1*48*5*0.375</f>
        <v>90</v>
      </c>
      <c r="K43" s="113" t="s">
        <v>130</v>
      </c>
      <c r="L43" s="13"/>
    </row>
    <row r="44" spans="1:12" ht="15" customHeight="1">
      <c r="A44" s="50"/>
      <c r="B44" s="33" t="s">
        <v>105</v>
      </c>
      <c r="C44" s="38"/>
      <c r="D44" s="111"/>
      <c r="E44" s="111" t="s">
        <v>212</v>
      </c>
      <c r="F44" s="111"/>
      <c r="G44" s="111"/>
      <c r="H44" s="111"/>
      <c r="I44" s="41"/>
      <c r="J44" s="116">
        <f>1*4*21.5*1.042</f>
        <v>89.612000000000009</v>
      </c>
      <c r="K44" s="113" t="s">
        <v>130</v>
      </c>
      <c r="L44" s="13"/>
    </row>
    <row r="45" spans="1:12" ht="15" customHeight="1">
      <c r="A45" s="50"/>
      <c r="B45" s="33" t="s">
        <v>96</v>
      </c>
      <c r="C45" s="38"/>
      <c r="D45" s="111"/>
      <c r="E45" s="111" t="s">
        <v>213</v>
      </c>
      <c r="F45" s="111"/>
      <c r="G45" s="111"/>
      <c r="H45" s="111"/>
      <c r="I45" s="41"/>
      <c r="J45" s="116">
        <f>1*38*5*0.375</f>
        <v>71.25</v>
      </c>
      <c r="K45" s="113" t="s">
        <v>130</v>
      </c>
      <c r="L45" s="13"/>
    </row>
    <row r="46" spans="1:12" ht="15" customHeight="1">
      <c r="A46" s="50"/>
      <c r="B46" s="33" t="s">
        <v>106</v>
      </c>
      <c r="C46" s="38"/>
      <c r="D46" s="111"/>
      <c r="E46" s="111" t="s">
        <v>214</v>
      </c>
      <c r="F46" s="111"/>
      <c r="G46" s="111"/>
      <c r="H46" s="111"/>
      <c r="I46" s="41"/>
      <c r="J46" s="116">
        <f>1*4*24.5*1.042</f>
        <v>102.116</v>
      </c>
      <c r="K46" s="113" t="s">
        <v>130</v>
      </c>
      <c r="L46" s="13"/>
    </row>
    <row r="47" spans="1:12" ht="15" customHeight="1">
      <c r="A47" s="50"/>
      <c r="B47" s="33" t="s">
        <v>96</v>
      </c>
      <c r="C47" s="38"/>
      <c r="D47" s="111"/>
      <c r="E47" s="111" t="s">
        <v>213</v>
      </c>
      <c r="F47" s="111"/>
      <c r="G47" s="111"/>
      <c r="H47" s="111"/>
      <c r="I47" s="41"/>
      <c r="J47" s="116">
        <f>1*38*5*0.375</f>
        <v>71.25</v>
      </c>
      <c r="K47" s="113" t="s">
        <v>130</v>
      </c>
      <c r="L47" s="13"/>
    </row>
    <row r="48" spans="1:12" ht="15" customHeight="1">
      <c r="A48" s="50"/>
      <c r="C48" s="38"/>
      <c r="D48" s="111"/>
      <c r="F48" s="111"/>
      <c r="G48" s="111"/>
      <c r="H48" s="111"/>
      <c r="I48" s="41"/>
      <c r="J48" s="145">
        <f>SUM(J25:J47)</f>
        <v>2453.3700000000008</v>
      </c>
      <c r="K48" s="115" t="s">
        <v>130</v>
      </c>
      <c r="L48" s="13"/>
    </row>
    <row r="49" spans="1:12" ht="15" customHeight="1">
      <c r="A49" s="50"/>
      <c r="C49" s="38"/>
      <c r="D49" s="111"/>
      <c r="F49" s="111"/>
      <c r="G49" s="111"/>
      <c r="H49" s="111"/>
      <c r="I49" s="41"/>
      <c r="J49" s="121"/>
      <c r="K49" s="113"/>
      <c r="L49" s="13"/>
    </row>
    <row r="50" spans="1:12" ht="15" customHeight="1">
      <c r="A50" s="50"/>
      <c r="C50" s="38"/>
      <c r="D50" s="111"/>
      <c r="E50" s="111"/>
      <c r="F50" s="111"/>
      <c r="G50" s="111"/>
      <c r="H50" s="111"/>
      <c r="I50" s="41"/>
      <c r="J50" s="144">
        <f>SUM(J23+J48)</f>
        <v>18437.474000000002</v>
      </c>
      <c r="K50" s="115" t="s">
        <v>130</v>
      </c>
      <c r="L50" s="13"/>
    </row>
    <row r="51" spans="1:12" ht="15" customHeight="1">
      <c r="A51" s="50"/>
      <c r="C51" s="38"/>
      <c r="D51" s="111"/>
      <c r="E51" s="111"/>
      <c r="F51" s="111"/>
      <c r="G51" s="111"/>
      <c r="H51" s="111"/>
      <c r="I51" s="41"/>
      <c r="J51" s="116"/>
      <c r="K51" s="113"/>
      <c r="L51" s="13"/>
    </row>
    <row r="52" spans="1:12" ht="15" customHeight="1">
      <c r="A52" s="50"/>
      <c r="C52" s="38"/>
      <c r="D52" s="111"/>
      <c r="E52" s="111" t="s">
        <v>215</v>
      </c>
      <c r="F52" s="111"/>
      <c r="G52" s="111"/>
      <c r="H52" s="111"/>
      <c r="I52" s="41"/>
      <c r="J52" s="144">
        <f>18437.47/112</f>
        <v>164.62026785714286</v>
      </c>
      <c r="K52" s="115" t="s">
        <v>131</v>
      </c>
      <c r="L52" s="13"/>
    </row>
    <row r="53" spans="1:12" ht="15" customHeight="1">
      <c r="A53" s="50"/>
      <c r="B53" s="141" t="s">
        <v>107</v>
      </c>
      <c r="C53" s="38"/>
      <c r="D53" s="111"/>
      <c r="E53" s="111"/>
      <c r="F53" s="111"/>
      <c r="G53" s="111"/>
      <c r="H53" s="111"/>
      <c r="I53" s="41"/>
      <c r="J53" s="114"/>
      <c r="K53" s="115"/>
      <c r="L53" s="13"/>
    </row>
    <row r="54" spans="1:12" ht="15" customHeight="1">
      <c r="A54" s="50"/>
      <c r="B54" s="33" t="s">
        <v>109</v>
      </c>
      <c r="C54" s="38"/>
      <c r="D54" s="111"/>
      <c r="E54" s="111" t="s">
        <v>216</v>
      </c>
      <c r="F54" s="111"/>
      <c r="G54" s="111"/>
      <c r="H54" s="111"/>
      <c r="I54" s="41"/>
      <c r="J54" s="112">
        <f>21*8*13.5*1.042</f>
        <v>2363.2559999999999</v>
      </c>
      <c r="K54" s="113" t="s">
        <v>130</v>
      </c>
      <c r="L54" s="13"/>
    </row>
    <row r="55" spans="1:12" ht="15" customHeight="1">
      <c r="A55" s="50"/>
      <c r="B55" s="33" t="s">
        <v>108</v>
      </c>
      <c r="C55" s="38"/>
      <c r="D55" s="111"/>
      <c r="E55" s="111" t="s">
        <v>217</v>
      </c>
      <c r="F55" s="111"/>
      <c r="G55" s="111"/>
      <c r="H55" s="111"/>
      <c r="I55" s="41"/>
      <c r="J55" s="112">
        <f>21*2*22*4*0.375</f>
        <v>1386</v>
      </c>
      <c r="K55" s="113" t="s">
        <v>130</v>
      </c>
      <c r="L55" s="13"/>
    </row>
    <row r="56" spans="1:12" ht="15" customHeight="1">
      <c r="A56" s="50"/>
      <c r="B56" s="33" t="s">
        <v>114</v>
      </c>
      <c r="C56" s="38"/>
      <c r="D56" s="111"/>
      <c r="E56" s="111" t="s">
        <v>194</v>
      </c>
      <c r="F56" s="111"/>
      <c r="G56" s="111"/>
      <c r="H56" s="111"/>
      <c r="I56" s="41"/>
      <c r="J56" s="112">
        <f>4*4*18*1.042</f>
        <v>300.096</v>
      </c>
      <c r="K56" s="113" t="s">
        <v>130</v>
      </c>
      <c r="L56" s="13"/>
    </row>
    <row r="57" spans="1:12" ht="15" customHeight="1">
      <c r="A57" s="50"/>
      <c r="B57" s="33" t="s">
        <v>120</v>
      </c>
      <c r="C57" s="38"/>
      <c r="D57" s="111"/>
      <c r="E57" s="111" t="s">
        <v>218</v>
      </c>
      <c r="F57" s="111"/>
      <c r="G57" s="111"/>
      <c r="H57" s="111"/>
      <c r="I57" s="41"/>
      <c r="J57" s="112">
        <f>4*2*12.5*0.667</f>
        <v>66.7</v>
      </c>
      <c r="K57" s="113" t="s">
        <v>130</v>
      </c>
      <c r="L57" s="13"/>
    </row>
    <row r="58" spans="1:12" ht="15" customHeight="1">
      <c r="A58" s="50"/>
      <c r="B58" s="33" t="s">
        <v>115</v>
      </c>
      <c r="C58" s="38"/>
      <c r="D58" s="111"/>
      <c r="E58" s="111" t="s">
        <v>195</v>
      </c>
      <c r="F58" s="111"/>
      <c r="G58" s="111"/>
      <c r="H58" s="111"/>
      <c r="I58" s="41"/>
      <c r="J58" s="112">
        <f>4*2*16.5*0.667</f>
        <v>88.044000000000011</v>
      </c>
      <c r="K58" s="113" t="s">
        <v>130</v>
      </c>
      <c r="L58" s="13"/>
    </row>
    <row r="59" spans="1:12" ht="15" customHeight="1">
      <c r="A59" s="50"/>
      <c r="B59" s="33" t="s">
        <v>116</v>
      </c>
      <c r="C59" s="38"/>
      <c r="D59" s="111"/>
      <c r="E59" s="111" t="s">
        <v>219</v>
      </c>
      <c r="F59" s="111"/>
      <c r="G59" s="111"/>
      <c r="H59" s="111"/>
      <c r="I59" s="41"/>
      <c r="J59" s="112">
        <f>4*32*9*0.375</f>
        <v>432</v>
      </c>
      <c r="K59" s="113" t="s">
        <v>130</v>
      </c>
      <c r="L59" s="13"/>
    </row>
    <row r="60" spans="1:12" ht="15" customHeight="1">
      <c r="A60" s="50"/>
      <c r="B60" s="33" t="s">
        <v>117</v>
      </c>
      <c r="C60" s="38"/>
      <c r="D60" s="111"/>
      <c r="E60" s="111" t="s">
        <v>94</v>
      </c>
      <c r="F60" s="111"/>
      <c r="G60" s="111"/>
      <c r="H60" s="111"/>
      <c r="I60" s="41"/>
      <c r="J60" s="112">
        <f>1*4*25*1.042</f>
        <v>104.2</v>
      </c>
      <c r="K60" s="113" t="s">
        <v>130</v>
      </c>
      <c r="L60" s="13"/>
    </row>
    <row r="61" spans="1:12" ht="15" customHeight="1">
      <c r="A61" s="50"/>
      <c r="B61" s="33" t="s">
        <v>120</v>
      </c>
      <c r="C61" s="38"/>
      <c r="D61" s="111"/>
      <c r="E61" s="111" t="s">
        <v>220</v>
      </c>
      <c r="F61" s="111"/>
      <c r="G61" s="111"/>
      <c r="H61" s="111"/>
      <c r="I61" s="41"/>
      <c r="J61" s="112">
        <f>1*2*11.5*0.667</f>
        <v>15.341000000000001</v>
      </c>
      <c r="K61" s="113" t="s">
        <v>130</v>
      </c>
      <c r="L61" s="13"/>
    </row>
    <row r="62" spans="1:12" ht="15" customHeight="1">
      <c r="A62" s="50"/>
      <c r="B62" s="33" t="s">
        <v>118</v>
      </c>
      <c r="C62" s="38"/>
      <c r="D62" s="111"/>
      <c r="E62" s="111" t="s">
        <v>197</v>
      </c>
      <c r="F62" s="111"/>
      <c r="G62" s="111"/>
      <c r="H62" s="111"/>
      <c r="I62" s="41"/>
      <c r="J62" s="112">
        <f>1*2*23.5*0.667</f>
        <v>31.349</v>
      </c>
      <c r="K62" s="113" t="s">
        <v>130</v>
      </c>
      <c r="L62" s="13"/>
    </row>
    <row r="63" spans="1:12" ht="15" customHeight="1">
      <c r="A63" s="50"/>
      <c r="B63" s="33" t="s">
        <v>96</v>
      </c>
      <c r="C63" s="38"/>
      <c r="D63" s="111"/>
      <c r="E63" s="111" t="s">
        <v>110</v>
      </c>
      <c r="F63" s="111"/>
      <c r="G63" s="111"/>
      <c r="H63" s="111"/>
      <c r="I63" s="41"/>
      <c r="J63" s="112">
        <f>1*42*9*0.375</f>
        <v>141.75</v>
      </c>
      <c r="K63" s="113" t="s">
        <v>130</v>
      </c>
      <c r="L63" s="13"/>
    </row>
    <row r="64" spans="1:12" ht="15" customHeight="1">
      <c r="A64" s="50"/>
      <c r="B64" s="33" t="s">
        <v>119</v>
      </c>
      <c r="C64" s="38"/>
      <c r="D64" s="111"/>
      <c r="E64" s="111" t="s">
        <v>199</v>
      </c>
      <c r="F64" s="111"/>
      <c r="G64" s="111"/>
      <c r="H64" s="111"/>
      <c r="I64" s="41"/>
      <c r="J64" s="112">
        <f>1*4*32.5*1.042</f>
        <v>135.46</v>
      </c>
      <c r="K64" s="113" t="s">
        <v>130</v>
      </c>
      <c r="L64" s="13"/>
    </row>
    <row r="65" spans="1:12" ht="15" customHeight="1">
      <c r="A65" s="50"/>
      <c r="B65" s="33" t="s">
        <v>121</v>
      </c>
      <c r="C65" s="38"/>
      <c r="D65" s="111"/>
      <c r="E65" s="111" t="s">
        <v>221</v>
      </c>
      <c r="F65" s="111"/>
      <c r="G65" s="111"/>
      <c r="H65" s="111"/>
      <c r="I65" s="41"/>
      <c r="J65" s="114">
        <f>1*2*31*0.667</f>
        <v>41.353999999999999</v>
      </c>
      <c r="K65" s="113" t="s">
        <v>130</v>
      </c>
      <c r="L65" s="13"/>
    </row>
    <row r="66" spans="1:12" ht="15" customHeight="1">
      <c r="A66" s="50"/>
      <c r="B66" s="33" t="s">
        <v>96</v>
      </c>
      <c r="C66" s="38"/>
      <c r="D66" s="111"/>
      <c r="E66" s="111" t="s">
        <v>222</v>
      </c>
      <c r="F66" s="111"/>
      <c r="G66" s="111"/>
      <c r="H66" s="111"/>
      <c r="I66" s="41"/>
      <c r="J66" s="112">
        <f>1*52*9*0.375</f>
        <v>175.5</v>
      </c>
      <c r="K66" s="113" t="s">
        <v>130</v>
      </c>
      <c r="L66" s="13"/>
    </row>
    <row r="67" spans="1:12" ht="15" customHeight="1">
      <c r="A67" s="50"/>
      <c r="B67" s="33" t="s">
        <v>122</v>
      </c>
      <c r="C67" s="38"/>
      <c r="D67" s="111"/>
      <c r="E67" s="111" t="s">
        <v>201</v>
      </c>
      <c r="F67" s="111"/>
      <c r="G67" s="111"/>
      <c r="H67" s="111"/>
      <c r="I67" s="41"/>
      <c r="J67" s="112">
        <f>1*5*15*1.042</f>
        <v>78.150000000000006</v>
      </c>
      <c r="K67" s="113" t="s">
        <v>130</v>
      </c>
      <c r="L67" s="13"/>
    </row>
    <row r="68" spans="1:12" ht="15" customHeight="1">
      <c r="A68" s="50"/>
      <c r="B68" s="33" t="s">
        <v>121</v>
      </c>
      <c r="C68" s="38"/>
      <c r="D68" s="111"/>
      <c r="E68" s="111" t="s">
        <v>92</v>
      </c>
      <c r="F68" s="111"/>
      <c r="G68" s="111"/>
      <c r="H68" s="111"/>
      <c r="I68" s="41"/>
      <c r="J68" s="112">
        <f>1*2*13.5*0.667</f>
        <v>18.009</v>
      </c>
      <c r="K68" s="113" t="s">
        <v>130</v>
      </c>
      <c r="L68" s="13"/>
    </row>
    <row r="69" spans="1:12" ht="15" customHeight="1">
      <c r="A69" s="50"/>
      <c r="B69" s="33" t="s">
        <v>100</v>
      </c>
      <c r="C69" s="38"/>
      <c r="D69" s="111"/>
      <c r="E69" s="111" t="s">
        <v>223</v>
      </c>
      <c r="F69" s="111"/>
      <c r="G69" s="111"/>
      <c r="H69" s="111"/>
      <c r="I69" s="41"/>
      <c r="J69" s="112">
        <f>1*27*9*0.375</f>
        <v>91.125</v>
      </c>
      <c r="K69" s="113" t="s">
        <v>130</v>
      </c>
      <c r="L69" s="13"/>
    </row>
    <row r="70" spans="1:12" ht="15" customHeight="1">
      <c r="A70" s="50"/>
      <c r="B70" s="33" t="s">
        <v>123</v>
      </c>
      <c r="C70" s="38"/>
      <c r="D70" s="111"/>
      <c r="E70" s="111" t="s">
        <v>203</v>
      </c>
      <c r="F70" s="111"/>
      <c r="G70" s="111"/>
      <c r="H70" s="111"/>
      <c r="I70" s="41"/>
      <c r="J70" s="112">
        <f>1*4*24*1.042</f>
        <v>100.03200000000001</v>
      </c>
      <c r="K70" s="113" t="s">
        <v>130</v>
      </c>
      <c r="L70" s="13"/>
    </row>
    <row r="71" spans="1:12" ht="15" customHeight="1">
      <c r="A71" s="50"/>
      <c r="B71" s="33" t="s">
        <v>120</v>
      </c>
      <c r="C71" s="38"/>
      <c r="D71" s="111"/>
      <c r="E71" s="111" t="s">
        <v>93</v>
      </c>
      <c r="F71" s="111"/>
      <c r="G71" s="111"/>
      <c r="H71" s="111"/>
      <c r="I71" s="41"/>
      <c r="J71" s="112">
        <f>1*2*12.5*0.667</f>
        <v>16.675000000000001</v>
      </c>
      <c r="K71" s="113" t="s">
        <v>130</v>
      </c>
      <c r="L71" s="13"/>
    </row>
    <row r="72" spans="1:12" ht="15" customHeight="1">
      <c r="A72" s="50"/>
      <c r="B72" s="33" t="s">
        <v>118</v>
      </c>
      <c r="C72" s="38"/>
      <c r="D72" s="111"/>
      <c r="E72" s="111" t="s">
        <v>232</v>
      </c>
      <c r="F72" s="111"/>
      <c r="G72" s="111"/>
      <c r="H72" s="111"/>
      <c r="I72" s="41"/>
      <c r="J72" s="112">
        <f>1*2*23*0.667</f>
        <v>30.682000000000002</v>
      </c>
      <c r="K72" s="113" t="s">
        <v>130</v>
      </c>
      <c r="L72" s="13"/>
    </row>
    <row r="73" spans="1:12" ht="15" customHeight="1">
      <c r="A73" s="50"/>
      <c r="B73" s="33" t="s">
        <v>96</v>
      </c>
      <c r="C73" s="38"/>
      <c r="D73" s="111"/>
      <c r="E73" s="111" t="s">
        <v>233</v>
      </c>
      <c r="F73" s="111"/>
      <c r="G73" s="111"/>
      <c r="H73" s="111"/>
      <c r="I73" s="41"/>
      <c r="J73" s="112">
        <f>1*40*9*0.375</f>
        <v>135</v>
      </c>
      <c r="K73" s="113" t="s">
        <v>130</v>
      </c>
      <c r="L73" s="13"/>
    </row>
    <row r="74" spans="1:12" ht="15" customHeight="1">
      <c r="A74" s="50"/>
      <c r="B74" s="33" t="s">
        <v>124</v>
      </c>
      <c r="C74" s="38"/>
      <c r="D74" s="111"/>
      <c r="E74" s="111" t="s">
        <v>234</v>
      </c>
      <c r="F74" s="111"/>
      <c r="G74" s="111"/>
      <c r="H74" s="111"/>
      <c r="I74" s="41"/>
      <c r="J74" s="112">
        <f>1*4*23*1.042</f>
        <v>95.864000000000004</v>
      </c>
      <c r="K74" s="113" t="s">
        <v>130</v>
      </c>
      <c r="L74" s="13"/>
    </row>
    <row r="75" spans="1:12" ht="15" customHeight="1">
      <c r="A75" s="50"/>
      <c r="B75" s="33" t="s">
        <v>118</v>
      </c>
      <c r="C75" s="38"/>
      <c r="D75" s="111"/>
      <c r="E75" s="111" t="s">
        <v>235</v>
      </c>
      <c r="F75" s="111"/>
      <c r="G75" s="111"/>
      <c r="H75" s="111"/>
      <c r="I75" s="41"/>
      <c r="J75" s="112">
        <f>1*2*21.5*0.667</f>
        <v>28.681000000000001</v>
      </c>
      <c r="K75" s="113" t="s">
        <v>130</v>
      </c>
      <c r="L75" s="13"/>
    </row>
    <row r="76" spans="1:12" ht="15" customHeight="1">
      <c r="A76" s="50"/>
      <c r="B76" s="33" t="s">
        <v>96</v>
      </c>
      <c r="C76" s="38"/>
      <c r="D76" s="111"/>
      <c r="E76" s="111" t="s">
        <v>236</v>
      </c>
      <c r="F76" s="111"/>
      <c r="G76" s="111"/>
      <c r="H76" s="111"/>
      <c r="I76" s="41"/>
      <c r="J76" s="112">
        <f>1*43*9*0.375</f>
        <v>145.125</v>
      </c>
      <c r="K76" s="113" t="s">
        <v>130</v>
      </c>
      <c r="L76" s="13"/>
    </row>
    <row r="77" spans="1:12" ht="15" customHeight="1">
      <c r="A77" s="50"/>
      <c r="B77" s="33" t="s">
        <v>125</v>
      </c>
      <c r="C77" s="38"/>
      <c r="D77" s="111"/>
      <c r="E77" s="111" t="s">
        <v>208</v>
      </c>
      <c r="F77" s="111"/>
      <c r="G77" s="111"/>
      <c r="H77" s="111"/>
      <c r="I77" s="41"/>
      <c r="J77" s="112">
        <f>3*4*13.5*1.042</f>
        <v>168.804</v>
      </c>
      <c r="K77" s="113" t="s">
        <v>130</v>
      </c>
      <c r="L77" s="13"/>
    </row>
    <row r="78" spans="1:12" ht="15" customHeight="1">
      <c r="A78" s="50"/>
      <c r="B78" s="33" t="s">
        <v>118</v>
      </c>
      <c r="C78" s="38"/>
      <c r="D78" s="111"/>
      <c r="E78" s="111" t="s">
        <v>237</v>
      </c>
      <c r="F78" s="111"/>
      <c r="G78" s="111"/>
      <c r="H78" s="111"/>
      <c r="I78" s="41"/>
      <c r="J78" s="112">
        <f>3*2*12*0.667</f>
        <v>48.024000000000001</v>
      </c>
      <c r="K78" s="113" t="s">
        <v>130</v>
      </c>
      <c r="L78" s="13"/>
    </row>
    <row r="79" spans="1:12" ht="15" customHeight="1">
      <c r="A79" s="50"/>
      <c r="B79" s="33" t="s">
        <v>96</v>
      </c>
      <c r="C79" s="38"/>
      <c r="D79" s="111"/>
      <c r="E79" s="111" t="s">
        <v>238</v>
      </c>
      <c r="F79" s="111"/>
      <c r="G79" s="111"/>
      <c r="H79" s="111"/>
      <c r="I79" s="41"/>
      <c r="J79" s="112">
        <f>3*24*9*0.375</f>
        <v>243</v>
      </c>
      <c r="K79" s="113" t="s">
        <v>130</v>
      </c>
      <c r="L79" s="13"/>
    </row>
    <row r="80" spans="1:12" ht="15" customHeight="1">
      <c r="A80" s="50"/>
      <c r="B80" s="33" t="s">
        <v>126</v>
      </c>
      <c r="C80" s="38"/>
      <c r="D80" s="111"/>
      <c r="E80" s="111" t="s">
        <v>210</v>
      </c>
      <c r="F80" s="111"/>
      <c r="G80" s="111"/>
      <c r="H80" s="111"/>
      <c r="I80" s="41"/>
      <c r="J80" s="112">
        <f>1*4*33*1.042</f>
        <v>137.54400000000001</v>
      </c>
      <c r="K80" s="113" t="s">
        <v>130</v>
      </c>
      <c r="L80" s="13"/>
    </row>
    <row r="81" spans="1:12" ht="15" customHeight="1">
      <c r="A81" s="50"/>
      <c r="B81" s="33" t="s">
        <v>118</v>
      </c>
      <c r="C81" s="38"/>
      <c r="D81" s="111"/>
      <c r="E81" s="111" t="s">
        <v>239</v>
      </c>
      <c r="F81" s="111"/>
      <c r="G81" s="111"/>
      <c r="H81" s="111"/>
      <c r="I81" s="41"/>
      <c r="J81" s="112">
        <f>1*2*31.5*0.667</f>
        <v>42.021000000000001</v>
      </c>
      <c r="K81" s="113" t="s">
        <v>130</v>
      </c>
      <c r="L81" s="13"/>
    </row>
    <row r="82" spans="1:12" ht="15" customHeight="1">
      <c r="A82" s="50"/>
      <c r="B82" s="33" t="s">
        <v>96</v>
      </c>
      <c r="C82" s="38"/>
      <c r="D82" s="111"/>
      <c r="E82" s="111" t="s">
        <v>240</v>
      </c>
      <c r="F82" s="111"/>
      <c r="G82" s="111"/>
      <c r="H82" s="111"/>
      <c r="I82" s="41"/>
      <c r="J82" s="112">
        <f>1*48*9*0.375</f>
        <v>162</v>
      </c>
      <c r="K82" s="113" t="s">
        <v>130</v>
      </c>
    </row>
    <row r="83" spans="1:12" ht="15" customHeight="1">
      <c r="A83" s="50"/>
      <c r="B83" s="33" t="s">
        <v>127</v>
      </c>
      <c r="C83" s="38"/>
      <c r="D83" s="111"/>
      <c r="E83" s="111" t="s">
        <v>212</v>
      </c>
      <c r="F83" s="111"/>
      <c r="G83" s="111"/>
      <c r="H83" s="111"/>
      <c r="I83" s="41"/>
      <c r="J83" s="112">
        <f>1*4*21.5*1.042</f>
        <v>89.612000000000009</v>
      </c>
      <c r="K83" s="113" t="s">
        <v>130</v>
      </c>
    </row>
    <row r="84" spans="1:12" ht="15" customHeight="1">
      <c r="A84" s="50"/>
      <c r="B84" s="33" t="s">
        <v>118</v>
      </c>
      <c r="C84" s="38"/>
      <c r="D84" s="111"/>
      <c r="E84" s="111" t="s">
        <v>241</v>
      </c>
      <c r="F84" s="111"/>
      <c r="G84" s="111"/>
      <c r="H84" s="111"/>
      <c r="I84" s="41"/>
      <c r="J84" s="112">
        <f>1*2*20*0.667</f>
        <v>26.68</v>
      </c>
      <c r="K84" s="113" t="s">
        <v>130</v>
      </c>
    </row>
    <row r="85" spans="1:12" ht="15" customHeight="1">
      <c r="A85" s="50"/>
      <c r="B85" s="33" t="s">
        <v>96</v>
      </c>
      <c r="C85" s="38"/>
      <c r="D85" s="111"/>
      <c r="E85" s="111" t="s">
        <v>242</v>
      </c>
      <c r="F85" s="111"/>
      <c r="G85" s="111"/>
      <c r="H85" s="111"/>
      <c r="I85" s="41"/>
      <c r="J85" s="112">
        <f>1*38*9*0.375</f>
        <v>128.25</v>
      </c>
      <c r="K85" s="113" t="s">
        <v>130</v>
      </c>
    </row>
    <row r="86" spans="1:12" ht="15" customHeight="1">
      <c r="A86" s="50"/>
      <c r="B86" s="33" t="s">
        <v>128</v>
      </c>
      <c r="C86" s="38"/>
      <c r="D86" s="111"/>
      <c r="E86" s="111" t="s">
        <v>214</v>
      </c>
      <c r="F86" s="111"/>
      <c r="G86" s="111"/>
      <c r="H86" s="111"/>
      <c r="I86" s="41"/>
      <c r="J86" s="112">
        <f>1*4*24.5*1.042</f>
        <v>102.116</v>
      </c>
      <c r="K86" s="113" t="s">
        <v>130</v>
      </c>
    </row>
    <row r="87" spans="1:12" ht="15" customHeight="1">
      <c r="A87" s="50"/>
      <c r="B87" s="33" t="s">
        <v>118</v>
      </c>
      <c r="C87" s="38"/>
      <c r="D87" s="111"/>
      <c r="E87" s="111" t="s">
        <v>232</v>
      </c>
      <c r="F87" s="111"/>
      <c r="G87" s="111"/>
      <c r="H87" s="111"/>
      <c r="I87" s="41"/>
      <c r="J87" s="112">
        <f>1*2*23*0.667</f>
        <v>30.682000000000002</v>
      </c>
      <c r="K87" s="113" t="s">
        <v>130</v>
      </c>
    </row>
    <row r="88" spans="1:12" ht="15" customHeight="1">
      <c r="A88" s="50"/>
      <c r="B88" s="33" t="s">
        <v>96</v>
      </c>
      <c r="C88" s="38"/>
      <c r="D88" s="111"/>
      <c r="E88" s="111" t="s">
        <v>242</v>
      </c>
      <c r="F88" s="111"/>
      <c r="G88" s="111"/>
      <c r="H88" s="111"/>
      <c r="I88" s="41"/>
      <c r="J88" s="112">
        <f>1*38*9*0.375</f>
        <v>128.25</v>
      </c>
      <c r="K88" s="113" t="s">
        <v>130</v>
      </c>
    </row>
    <row r="89" spans="1:12" ht="15" customHeight="1">
      <c r="A89" s="50"/>
      <c r="B89" s="8" t="s">
        <v>224</v>
      </c>
      <c r="C89" s="38"/>
      <c r="D89" s="111"/>
      <c r="E89" s="111" t="s">
        <v>243</v>
      </c>
      <c r="F89" s="111"/>
      <c r="G89" s="111"/>
      <c r="H89" s="111"/>
      <c r="I89" s="41"/>
      <c r="J89" s="112">
        <f>2*36*16.25*0.667</f>
        <v>780.3900000000001</v>
      </c>
      <c r="K89" s="113" t="s">
        <v>130</v>
      </c>
    </row>
    <row r="90" spans="1:12" ht="15" customHeight="1">
      <c r="A90" s="50"/>
      <c r="B90" s="8" t="s">
        <v>129</v>
      </c>
      <c r="C90" s="38"/>
      <c r="D90" s="111"/>
      <c r="E90" s="111" t="s">
        <v>244</v>
      </c>
      <c r="F90" s="111"/>
      <c r="G90" s="111"/>
      <c r="H90" s="111"/>
      <c r="I90" s="41"/>
      <c r="J90" s="112">
        <f>2*19*21*0.667</f>
        <v>532.26600000000008</v>
      </c>
      <c r="K90" s="113" t="s">
        <v>130</v>
      </c>
    </row>
    <row r="91" spans="1:12" ht="15" customHeight="1">
      <c r="A91" s="50"/>
      <c r="B91" s="8" t="s">
        <v>225</v>
      </c>
      <c r="C91" s="38"/>
      <c r="D91" s="111"/>
      <c r="E91" s="118" t="s">
        <v>245</v>
      </c>
      <c r="F91" s="111"/>
      <c r="G91" s="111"/>
      <c r="H91" s="111"/>
      <c r="I91" s="41"/>
      <c r="J91" s="112">
        <f>2*4*15*0.375</f>
        <v>45</v>
      </c>
      <c r="K91" s="113" t="s">
        <v>130</v>
      </c>
    </row>
    <row r="92" spans="1:12" ht="15" customHeight="1">
      <c r="A92" s="50"/>
      <c r="B92" s="8" t="s">
        <v>226</v>
      </c>
      <c r="C92" s="38"/>
      <c r="D92" s="111"/>
      <c r="E92" s="8" t="s">
        <v>246</v>
      </c>
      <c r="F92" s="111"/>
      <c r="G92" s="111"/>
      <c r="H92" s="111"/>
      <c r="I92" s="41"/>
      <c r="J92" s="112">
        <f>2*5*10*0.375</f>
        <v>37.5</v>
      </c>
      <c r="K92" s="113" t="s">
        <v>130</v>
      </c>
    </row>
    <row r="93" spans="1:12" ht="15" customHeight="1">
      <c r="A93" s="50"/>
      <c r="B93" s="8" t="s">
        <v>176</v>
      </c>
      <c r="C93" s="38"/>
      <c r="D93" s="111"/>
      <c r="E93" s="111" t="s">
        <v>247</v>
      </c>
      <c r="F93" s="111"/>
      <c r="G93" s="111"/>
      <c r="H93" s="111"/>
      <c r="I93" s="41"/>
      <c r="J93" s="112">
        <f>2*20*2.5*0.375</f>
        <v>37.5</v>
      </c>
      <c r="K93" s="113" t="s">
        <v>130</v>
      </c>
    </row>
    <row r="94" spans="1:12" ht="15" customHeight="1">
      <c r="A94" s="50"/>
      <c r="B94" s="8" t="s">
        <v>224</v>
      </c>
      <c r="C94" s="38"/>
      <c r="D94" s="111"/>
      <c r="E94" s="111" t="s">
        <v>248</v>
      </c>
      <c r="F94" s="111"/>
      <c r="G94" s="111"/>
      <c r="H94" s="111"/>
      <c r="I94" s="41"/>
      <c r="J94" s="112">
        <f>2*38*17.25*0.667</f>
        <v>874.43700000000001</v>
      </c>
      <c r="K94" s="113" t="s">
        <v>130</v>
      </c>
    </row>
    <row r="95" spans="1:12" ht="15" customHeight="1">
      <c r="A95" s="50"/>
      <c r="B95" s="8" t="s">
        <v>129</v>
      </c>
      <c r="C95" s="38"/>
      <c r="D95" s="111"/>
      <c r="E95" s="111" t="s">
        <v>249</v>
      </c>
      <c r="F95" s="111"/>
      <c r="G95" s="111"/>
      <c r="H95" s="111"/>
      <c r="I95" s="41"/>
      <c r="J95" s="112">
        <f>2*21*22*0.667</f>
        <v>616.30799999999999</v>
      </c>
      <c r="K95" s="113" t="s">
        <v>130</v>
      </c>
    </row>
    <row r="96" spans="1:12" ht="15" customHeight="1">
      <c r="A96" s="50"/>
      <c r="B96" s="8" t="s">
        <v>225</v>
      </c>
      <c r="C96" s="38"/>
      <c r="D96" s="111"/>
      <c r="E96" s="111" t="s">
        <v>245</v>
      </c>
      <c r="F96" s="111"/>
      <c r="G96" s="111"/>
      <c r="H96" s="111"/>
      <c r="I96" s="41"/>
      <c r="J96" s="112">
        <f>2*4*15*0.375</f>
        <v>45</v>
      </c>
      <c r="K96" s="113" t="s">
        <v>130</v>
      </c>
    </row>
    <row r="97" spans="1:11" ht="15" customHeight="1">
      <c r="A97" s="50"/>
      <c r="B97" s="8" t="s">
        <v>226</v>
      </c>
      <c r="C97" s="38"/>
      <c r="D97" s="111"/>
      <c r="E97" s="111" t="s">
        <v>250</v>
      </c>
      <c r="F97" s="111"/>
      <c r="G97" s="111"/>
      <c r="H97" s="111"/>
      <c r="I97" s="41"/>
      <c r="J97" s="112">
        <f>2*5*11*0.375</f>
        <v>41.25</v>
      </c>
      <c r="K97" s="113" t="s">
        <v>130</v>
      </c>
    </row>
    <row r="98" spans="1:11" ht="15" customHeight="1">
      <c r="A98" s="50"/>
      <c r="B98" s="8" t="s">
        <v>176</v>
      </c>
      <c r="C98" s="38"/>
      <c r="D98" s="111"/>
      <c r="E98" s="111" t="s">
        <v>251</v>
      </c>
      <c r="F98" s="111"/>
      <c r="G98" s="111"/>
      <c r="H98" s="111"/>
      <c r="I98" s="41"/>
      <c r="J98" s="112">
        <f>2*22*2.5*0.375</f>
        <v>41.25</v>
      </c>
      <c r="K98" s="113" t="s">
        <v>130</v>
      </c>
    </row>
    <row r="99" spans="1:11" ht="15" customHeight="1">
      <c r="A99" s="50"/>
      <c r="B99" s="33" t="s">
        <v>227</v>
      </c>
      <c r="C99" s="38"/>
      <c r="D99" s="111"/>
      <c r="E99" s="111" t="s">
        <v>112</v>
      </c>
      <c r="F99" s="111"/>
      <c r="G99" s="111"/>
      <c r="H99" s="111"/>
      <c r="I99" s="41"/>
      <c r="J99" s="112">
        <f>1*38*17.5*0.667</f>
        <v>443.55500000000001</v>
      </c>
      <c r="K99" s="113" t="s">
        <v>130</v>
      </c>
    </row>
    <row r="100" spans="1:11" ht="15" customHeight="1">
      <c r="A100" s="50"/>
      <c r="B100" s="33" t="s">
        <v>129</v>
      </c>
      <c r="C100" s="38"/>
      <c r="D100" s="111"/>
      <c r="E100" s="111" t="s">
        <v>252</v>
      </c>
      <c r="F100" s="111"/>
      <c r="G100" s="111"/>
      <c r="H100" s="111"/>
      <c r="I100" s="41"/>
      <c r="J100" s="112">
        <f>1*33*19.5*0.667</f>
        <v>429.21450000000004</v>
      </c>
      <c r="K100" s="113" t="s">
        <v>130</v>
      </c>
    </row>
    <row r="101" spans="1:11" ht="15" customHeight="1">
      <c r="A101" s="50"/>
      <c r="B101" s="33" t="s">
        <v>228</v>
      </c>
      <c r="C101" s="38"/>
      <c r="D101" s="111"/>
      <c r="E101" s="111" t="s">
        <v>253</v>
      </c>
      <c r="F101" s="111"/>
      <c r="G101" s="111"/>
      <c r="H101" s="111"/>
      <c r="I101" s="41"/>
      <c r="J101" s="112">
        <f>1*33*10*0.667</f>
        <v>220.11</v>
      </c>
      <c r="K101" s="113" t="s">
        <v>130</v>
      </c>
    </row>
    <row r="102" spans="1:11" ht="15" customHeight="1">
      <c r="A102" s="50"/>
      <c r="B102" s="33" t="s">
        <v>229</v>
      </c>
      <c r="C102" s="38"/>
      <c r="D102" s="111"/>
      <c r="E102" s="111" t="s">
        <v>254</v>
      </c>
      <c r="F102" s="111"/>
      <c r="G102" s="111"/>
      <c r="H102" s="111"/>
      <c r="I102" s="41"/>
      <c r="J102" s="112">
        <f>1*13*14*0.667</f>
        <v>121.39400000000001</v>
      </c>
      <c r="K102" s="113" t="s">
        <v>130</v>
      </c>
    </row>
    <row r="103" spans="1:11" ht="15" customHeight="1">
      <c r="A103" s="50"/>
      <c r="B103" s="33" t="s">
        <v>230</v>
      </c>
      <c r="C103" s="38"/>
      <c r="D103" s="111"/>
      <c r="E103" s="111" t="s">
        <v>113</v>
      </c>
      <c r="F103" s="111"/>
      <c r="G103" s="111"/>
      <c r="H103" s="111"/>
      <c r="I103" s="41"/>
      <c r="J103" s="114">
        <f>1*10*2.5*0.375</f>
        <v>9.375</v>
      </c>
      <c r="K103" s="113" t="s">
        <v>130</v>
      </c>
    </row>
    <row r="104" spans="1:11" ht="15" customHeight="1">
      <c r="A104" s="50"/>
      <c r="B104" s="8" t="s">
        <v>231</v>
      </c>
      <c r="C104" s="38"/>
      <c r="D104" s="111"/>
      <c r="E104" s="111" t="s">
        <v>255</v>
      </c>
      <c r="F104" s="111"/>
      <c r="G104" s="111"/>
      <c r="H104" s="111"/>
      <c r="I104" s="41"/>
      <c r="J104" s="112">
        <f>2*17*12.5*0.667</f>
        <v>283.47500000000002</v>
      </c>
      <c r="K104" s="113" t="s">
        <v>130</v>
      </c>
    </row>
    <row r="105" spans="1:11" ht="15" customHeight="1">
      <c r="A105" s="50"/>
      <c r="B105" s="8" t="s">
        <v>129</v>
      </c>
      <c r="C105" s="38"/>
      <c r="D105" s="111"/>
      <c r="E105" s="111" t="s">
        <v>256</v>
      </c>
      <c r="F105" s="111"/>
      <c r="G105" s="111"/>
      <c r="H105" s="111"/>
      <c r="I105" s="41"/>
      <c r="J105" s="112">
        <f>2*12*16.25*0.375</f>
        <v>146.25</v>
      </c>
      <c r="K105" s="113" t="s">
        <v>130</v>
      </c>
    </row>
    <row r="106" spans="1:11" ht="15" customHeight="1">
      <c r="A106" s="50"/>
      <c r="B106" s="8" t="s">
        <v>225</v>
      </c>
      <c r="C106" s="38"/>
      <c r="D106" s="111"/>
      <c r="E106" s="111" t="s">
        <v>257</v>
      </c>
      <c r="F106" s="111"/>
      <c r="G106" s="111"/>
      <c r="H106" s="111"/>
      <c r="I106" s="41"/>
      <c r="J106" s="112">
        <f>2*3*11*0.375</f>
        <v>24.75</v>
      </c>
      <c r="K106" s="113" t="s">
        <v>130</v>
      </c>
    </row>
    <row r="107" spans="1:11" ht="15" customHeight="1">
      <c r="A107" s="50"/>
      <c r="B107" s="8" t="s">
        <v>226</v>
      </c>
      <c r="C107" s="38"/>
      <c r="D107" s="111"/>
      <c r="E107" s="111" t="s">
        <v>258</v>
      </c>
      <c r="F107" s="111"/>
      <c r="G107" s="111"/>
      <c r="H107" s="111"/>
      <c r="I107" s="41"/>
      <c r="J107" s="112">
        <f>2*4*6*0.375</f>
        <v>18</v>
      </c>
      <c r="K107" s="113" t="s">
        <v>130</v>
      </c>
    </row>
    <row r="108" spans="1:11" ht="15" customHeight="1">
      <c r="A108" s="50"/>
      <c r="B108" s="8" t="s">
        <v>176</v>
      </c>
      <c r="C108" s="38"/>
      <c r="D108" s="111"/>
      <c r="E108" s="111" t="s">
        <v>111</v>
      </c>
      <c r="F108" s="111"/>
      <c r="G108" s="111"/>
      <c r="H108" s="111"/>
      <c r="I108" s="41"/>
      <c r="J108" s="112">
        <f>2*10*2.5*0.375</f>
        <v>18.75</v>
      </c>
      <c r="K108" s="113" t="s">
        <v>130</v>
      </c>
    </row>
    <row r="109" spans="1:11" ht="15" customHeight="1">
      <c r="A109" s="50"/>
      <c r="B109" s="8" t="s">
        <v>231</v>
      </c>
      <c r="C109" s="38"/>
      <c r="D109" s="111"/>
      <c r="E109" s="111" t="s">
        <v>259</v>
      </c>
      <c r="F109" s="111"/>
      <c r="G109" s="111"/>
      <c r="H109" s="111"/>
      <c r="I109" s="41"/>
      <c r="J109" s="112">
        <f>1*16*9.5*0.667</f>
        <v>101.384</v>
      </c>
      <c r="K109" s="113" t="s">
        <v>130</v>
      </c>
    </row>
    <row r="110" spans="1:11" ht="15" customHeight="1">
      <c r="A110" s="50"/>
      <c r="B110" s="8" t="s">
        <v>129</v>
      </c>
      <c r="C110" s="38"/>
      <c r="D110" s="111"/>
      <c r="E110" s="111" t="s">
        <v>260</v>
      </c>
      <c r="F110" s="111"/>
      <c r="G110" s="111"/>
      <c r="H110" s="111"/>
      <c r="I110" s="41"/>
      <c r="J110" s="112">
        <f>1*9*14*0.375</f>
        <v>47.25</v>
      </c>
      <c r="K110" s="113" t="s">
        <v>130</v>
      </c>
    </row>
    <row r="111" spans="1:11" ht="15" customHeight="1">
      <c r="A111" s="50"/>
      <c r="B111" s="8" t="s">
        <v>225</v>
      </c>
      <c r="C111" s="38"/>
      <c r="D111" s="111"/>
      <c r="E111" s="111" t="s">
        <v>261</v>
      </c>
      <c r="F111" s="111"/>
      <c r="G111" s="111"/>
      <c r="H111" s="111"/>
      <c r="I111" s="41"/>
      <c r="J111" s="112">
        <f>1*3*14*0.375</f>
        <v>15.75</v>
      </c>
      <c r="K111" s="113" t="s">
        <v>130</v>
      </c>
    </row>
    <row r="112" spans="1:11" ht="15" customHeight="1">
      <c r="A112" s="50"/>
      <c r="B112" s="8" t="s">
        <v>176</v>
      </c>
      <c r="C112" s="38"/>
      <c r="D112" s="111"/>
      <c r="E112" s="111" t="s">
        <v>262</v>
      </c>
      <c r="F112" s="111"/>
      <c r="G112" s="111"/>
      <c r="H112" s="111"/>
      <c r="I112" s="41"/>
      <c r="J112" s="112">
        <f>1*12*2.5*0.375</f>
        <v>11.25</v>
      </c>
      <c r="K112" s="113" t="s">
        <v>130</v>
      </c>
    </row>
    <row r="113" spans="1:11" ht="15" customHeight="1">
      <c r="A113" s="50"/>
      <c r="B113" s="33"/>
      <c r="C113" s="38"/>
      <c r="D113" s="111"/>
      <c r="E113" s="111"/>
      <c r="F113" s="111"/>
      <c r="G113" s="111"/>
      <c r="H113" s="111"/>
      <c r="I113" s="41"/>
      <c r="J113" s="114">
        <f>SUM(J54:J112)</f>
        <v>12268.7845</v>
      </c>
      <c r="K113" s="115" t="s">
        <v>130</v>
      </c>
    </row>
    <row r="114" spans="1:11" ht="15" customHeight="1">
      <c r="A114" s="50"/>
      <c r="B114" s="33"/>
      <c r="C114" s="38"/>
      <c r="D114" s="111"/>
      <c r="E114" s="111"/>
      <c r="F114" s="111"/>
      <c r="G114" s="111"/>
      <c r="H114" s="111"/>
      <c r="I114" s="41"/>
      <c r="J114" s="112"/>
      <c r="K114" s="113"/>
    </row>
    <row r="115" spans="1:11" ht="15" customHeight="1">
      <c r="A115" s="50"/>
      <c r="B115" s="33"/>
      <c r="C115" s="38"/>
      <c r="D115" s="111"/>
      <c r="E115" s="111" t="s">
        <v>263</v>
      </c>
      <c r="F115" s="111"/>
      <c r="G115" s="111"/>
      <c r="H115" s="111"/>
      <c r="I115" s="41"/>
      <c r="J115" s="112">
        <f>12268.78/112</f>
        <v>109.54267857142858</v>
      </c>
      <c r="K115" s="113" t="s">
        <v>131</v>
      </c>
    </row>
    <row r="116" spans="1:11" ht="15" customHeight="1">
      <c r="A116" s="8"/>
      <c r="I116" s="8"/>
      <c r="J116" s="8"/>
      <c r="K116" s="8"/>
    </row>
    <row r="117" spans="1:11" ht="15" customHeight="1">
      <c r="A117" s="8"/>
      <c r="I117" s="8"/>
      <c r="J117" s="8"/>
      <c r="K117" s="8"/>
    </row>
    <row r="118" spans="1:11" ht="15" customHeight="1">
      <c r="A118" s="8"/>
      <c r="I118" s="8"/>
      <c r="J118" s="8"/>
      <c r="K118" s="8"/>
    </row>
    <row r="119" spans="1:11" ht="15" customHeight="1">
      <c r="A119" s="8"/>
      <c r="I119" s="8"/>
      <c r="J119" s="8"/>
      <c r="K119" s="8"/>
    </row>
    <row r="120" spans="1:11" ht="15" customHeight="1">
      <c r="A120" s="8"/>
      <c r="I120" s="8"/>
      <c r="J120" s="8"/>
      <c r="K120" s="8"/>
    </row>
    <row r="121" spans="1:11" ht="15" customHeight="1">
      <c r="A121" s="8"/>
      <c r="I121" s="8"/>
      <c r="J121" s="8"/>
      <c r="K121" s="8"/>
    </row>
    <row r="122" spans="1:11" ht="15" customHeight="1">
      <c r="A122" s="8"/>
      <c r="I122" s="8"/>
      <c r="J122" s="8"/>
      <c r="K122" s="8"/>
    </row>
    <row r="123" spans="1:11" ht="15" customHeight="1">
      <c r="A123" s="8"/>
      <c r="I123" s="8"/>
      <c r="J123" s="8"/>
      <c r="K123" s="8"/>
    </row>
    <row r="124" spans="1:11" ht="15" customHeight="1">
      <c r="A124" s="8"/>
      <c r="I124" s="8"/>
      <c r="J124" s="8"/>
      <c r="K124" s="8"/>
    </row>
    <row r="125" spans="1:11" ht="15" customHeight="1">
      <c r="A125" s="8"/>
      <c r="I125" s="8"/>
      <c r="J125" s="8"/>
      <c r="K125" s="8"/>
    </row>
    <row r="126" spans="1:11" ht="15" customHeight="1">
      <c r="A126" s="8"/>
      <c r="I126" s="8"/>
      <c r="J126" s="8"/>
      <c r="K126" s="8"/>
    </row>
    <row r="127" spans="1:11" ht="15" customHeight="1">
      <c r="A127" s="8"/>
      <c r="I127" s="8"/>
      <c r="J127" s="8"/>
      <c r="K127" s="8"/>
    </row>
    <row r="128" spans="1:11" ht="15" customHeight="1">
      <c r="A128" s="8"/>
      <c r="I128" s="8"/>
      <c r="J128" s="8"/>
      <c r="K128" s="8"/>
    </row>
    <row r="129" spans="1:11" ht="15" customHeight="1">
      <c r="A129" s="8"/>
      <c r="I129" s="8"/>
      <c r="J129" s="8"/>
      <c r="K129" s="8"/>
    </row>
    <row r="130" spans="1:11" ht="15" customHeight="1">
      <c r="A130" s="8"/>
      <c r="I130" s="8"/>
      <c r="J130" s="8"/>
      <c r="K130" s="8"/>
    </row>
    <row r="131" spans="1:11" ht="15" customHeight="1">
      <c r="A131" s="8"/>
      <c r="I131" s="8"/>
      <c r="J131" s="8"/>
      <c r="K131" s="8"/>
    </row>
    <row r="132" spans="1:11" ht="15" customHeight="1">
      <c r="A132" s="8"/>
      <c r="I132" s="8"/>
      <c r="J132" s="8"/>
      <c r="K132" s="8"/>
    </row>
    <row r="133" spans="1:11" ht="15" customHeight="1">
      <c r="A133" s="8"/>
      <c r="I133" s="8"/>
      <c r="J133" s="8"/>
      <c r="K133" s="8"/>
    </row>
    <row r="134" spans="1:11" ht="15" customHeight="1">
      <c r="A134" s="8"/>
      <c r="I134" s="8"/>
      <c r="J134" s="8"/>
      <c r="K134" s="8"/>
    </row>
    <row r="135" spans="1:11" ht="15" customHeight="1">
      <c r="A135" s="8"/>
      <c r="I135" s="8"/>
      <c r="J135" s="8"/>
      <c r="K135" s="8"/>
    </row>
    <row r="136" spans="1:11" ht="15" customHeight="1">
      <c r="A136" s="50"/>
      <c r="B136" s="33"/>
      <c r="C136" s="38"/>
      <c r="D136" s="111"/>
      <c r="E136" s="111"/>
      <c r="F136" s="111"/>
      <c r="G136" s="111"/>
      <c r="H136" s="111"/>
      <c r="I136" s="41"/>
      <c r="J136" s="112"/>
      <c r="K136" s="113"/>
    </row>
    <row r="137" spans="1:11" ht="15" customHeight="1">
      <c r="A137" s="50"/>
      <c r="B137" s="33"/>
      <c r="C137" s="38"/>
      <c r="D137" s="111"/>
      <c r="E137" s="111"/>
      <c r="F137" s="111"/>
      <c r="G137" s="111"/>
      <c r="H137" s="111"/>
      <c r="I137" s="41"/>
      <c r="J137" s="112"/>
      <c r="K137" s="113"/>
    </row>
    <row r="138" spans="1:11" ht="15" customHeight="1">
      <c r="A138" s="50"/>
      <c r="B138" s="33"/>
      <c r="C138" s="38"/>
      <c r="D138" s="111"/>
      <c r="E138" s="111"/>
      <c r="F138" s="111"/>
      <c r="G138" s="111"/>
      <c r="H138" s="111"/>
      <c r="I138" s="41"/>
      <c r="J138" s="112"/>
      <c r="K138" s="113"/>
    </row>
    <row r="139" spans="1:11" ht="15" customHeight="1">
      <c r="A139" s="50"/>
      <c r="B139" s="33"/>
      <c r="C139" s="38"/>
      <c r="D139" s="111"/>
      <c r="E139" s="111"/>
      <c r="F139" s="111"/>
      <c r="G139" s="111"/>
      <c r="H139" s="111"/>
      <c r="I139" s="41"/>
      <c r="J139" s="112"/>
      <c r="K139" s="113"/>
    </row>
    <row r="140" spans="1:11" ht="15" customHeight="1">
      <c r="A140" s="50"/>
      <c r="B140" s="33"/>
      <c r="C140" s="38"/>
      <c r="D140" s="111"/>
      <c r="E140" s="111"/>
      <c r="F140" s="111"/>
      <c r="G140" s="111"/>
      <c r="H140" s="111"/>
      <c r="I140" s="41"/>
      <c r="J140" s="112"/>
      <c r="K140" s="113"/>
    </row>
    <row r="141" spans="1:11" ht="15" customHeight="1">
      <c r="A141" s="50"/>
      <c r="B141" s="33"/>
      <c r="C141" s="38"/>
      <c r="D141" s="111"/>
      <c r="E141" s="111"/>
      <c r="F141" s="111"/>
      <c r="G141" s="111"/>
      <c r="H141" s="111"/>
      <c r="I141" s="41"/>
      <c r="J141" s="112"/>
      <c r="K141" s="113"/>
    </row>
    <row r="142" spans="1:11" ht="15" customHeight="1">
      <c r="A142" s="50"/>
      <c r="B142" s="33"/>
      <c r="C142" s="38"/>
      <c r="D142" s="111"/>
      <c r="E142" s="111"/>
      <c r="F142" s="111"/>
      <c r="G142" s="111"/>
      <c r="H142" s="111"/>
      <c r="I142" s="41"/>
      <c r="J142" s="112"/>
      <c r="K142" s="113"/>
    </row>
    <row r="143" spans="1:11" ht="15" customHeight="1">
      <c r="A143" s="50"/>
      <c r="B143" s="33"/>
      <c r="C143" s="38"/>
      <c r="D143" s="111"/>
      <c r="E143" s="111"/>
      <c r="F143" s="111"/>
      <c r="G143" s="111"/>
      <c r="H143" s="111"/>
      <c r="I143" s="41"/>
      <c r="J143" s="112"/>
      <c r="K143" s="113"/>
    </row>
    <row r="144" spans="1:11" ht="15" customHeight="1">
      <c r="A144" s="7"/>
      <c r="B144" s="33"/>
      <c r="C144" s="1"/>
    </row>
    <row r="145" spans="1:11" ht="15" customHeight="1">
      <c r="A145" s="7"/>
    </row>
    <row r="146" spans="1:11" ht="15" customHeight="1"/>
    <row r="147" spans="1:11" ht="15" customHeight="1"/>
    <row r="148" spans="1:11" ht="15" customHeight="1"/>
    <row r="149" spans="1:11" ht="15" customHeight="1">
      <c r="B149" s="6" t="s">
        <v>2</v>
      </c>
      <c r="E149" s="30"/>
      <c r="F149" s="31"/>
      <c r="G149" s="7"/>
      <c r="H149" s="6"/>
      <c r="I149" s="7" t="s">
        <v>0</v>
      </c>
      <c r="J149" s="7"/>
      <c r="K149" s="31"/>
    </row>
    <row r="150" spans="1:11" ht="15" customHeight="1">
      <c r="A150" s="8"/>
      <c r="D150" s="7"/>
      <c r="G150" s="7"/>
      <c r="H150" s="6"/>
      <c r="I150" s="2" t="s">
        <v>63</v>
      </c>
      <c r="J150" s="7"/>
      <c r="K150" s="8"/>
    </row>
    <row r="151" spans="1:11" ht="15" customHeight="1">
      <c r="D151" s="7"/>
      <c r="E151" s="7"/>
      <c r="F151" s="7"/>
      <c r="G151" s="7"/>
      <c r="H151" s="6"/>
      <c r="I151" s="5" t="s">
        <v>1</v>
      </c>
      <c r="J151" s="7"/>
      <c r="K151" s="7"/>
    </row>
    <row r="152" spans="1:11" ht="15" customHeight="1">
      <c r="C152" s="7"/>
      <c r="D152" s="7"/>
      <c r="E152" s="7"/>
      <c r="F152" s="7"/>
      <c r="I152" s="8"/>
      <c r="J152" s="8"/>
      <c r="K152" s="7"/>
    </row>
    <row r="153" spans="1:11" ht="15" customHeight="1">
      <c r="E153" s="7"/>
      <c r="F153" s="7"/>
      <c r="I153" s="8"/>
      <c r="J153" s="8"/>
      <c r="K153" s="7"/>
    </row>
    <row r="154" spans="1:11" ht="15" customHeight="1"/>
  </sheetData>
  <mergeCells count="5">
    <mergeCell ref="A1:B1"/>
    <mergeCell ref="C1:K3"/>
    <mergeCell ref="B6:D6"/>
    <mergeCell ref="E6:H6"/>
    <mergeCell ref="J6:K6"/>
  </mergeCells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Face sheet</vt:lpstr>
      <vt:lpstr>G.Abs</vt:lpstr>
      <vt:lpstr>(Abs)</vt:lpstr>
      <vt:lpstr>Mes</vt:lpstr>
      <vt:lpstr>Bar Bending Schedule</vt:lpstr>
      <vt:lpstr>Sheet1</vt:lpstr>
      <vt:lpstr>'(Abs)'!Print_Area</vt:lpstr>
      <vt:lpstr>'Bar Bending Schedule'!Print_Area</vt:lpstr>
      <vt:lpstr>Mes!Print_Area</vt:lpstr>
      <vt:lpstr>'(Abs)'!Print_Titles</vt:lpstr>
      <vt:lpstr>'Bar Bending Schedule'!Print_Titles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2017-04-25T08:04:25Z</cp:lastPrinted>
  <dcterms:created xsi:type="dcterms:W3CDTF">2004-01-20T03:33:34Z</dcterms:created>
  <dcterms:modified xsi:type="dcterms:W3CDTF">2017-05-10T08:00:46Z</dcterms:modified>
</cp:coreProperties>
</file>