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11025" tabRatio="787" firstSheet="13" activeTab="13"/>
  </bookViews>
  <sheets>
    <sheet name="List" sheetId="9" r:id="rId1"/>
    <sheet name="REVENUE" sheetId="3" r:id="rId2"/>
    <sheet name="Activity Plan" sheetId="8" r:id="rId3"/>
    <sheet name="Escalation" sheetId="7" r:id="rId4"/>
    <sheet name="G.Abs" sheetId="6" r:id="rId5"/>
    <sheet name="Recurring" sheetId="5" r:id="rId6"/>
    <sheet name="Ab " sheetId="2" r:id="rId7"/>
    <sheet name="Sheet8" sheetId="26" r:id="rId8"/>
    <sheet name="Sheet1" sheetId="10" r:id="rId9"/>
    <sheet name="Sheet2" sheetId="15" r:id="rId10"/>
    <sheet name="Estimate." sheetId="11" r:id="rId11"/>
    <sheet name="Carriage" sheetId="12" r:id="rId12"/>
    <sheet name="AB Sheet" sheetId="13" r:id="rId13"/>
    <sheet name="M-B." sheetId="17" r:id="rId14"/>
  </sheets>
  <definedNames>
    <definedName name="_xlnm.Print_Titles" localSheetId="12">'AB Sheet'!$5:$6</definedName>
    <definedName name="_xlnm.Print_Titles" localSheetId="10">Estimate.!$7:$8</definedName>
    <definedName name="_xlnm.Print_Titles" localSheetId="13">'M-B.'!$6:$6</definedName>
  </definedNames>
  <calcPr calcId="124519"/>
</workbook>
</file>

<file path=xl/calcChain.xml><?xml version="1.0" encoding="utf-8"?>
<calcChain xmlns="http://schemas.openxmlformats.org/spreadsheetml/2006/main">
  <c r="Q108" i="17"/>
  <c r="Q109"/>
  <c r="Q110"/>
  <c r="Q111"/>
  <c r="Q113"/>
  <c r="B4" i="26"/>
  <c r="Q79" i="17"/>
  <c r="Q95"/>
  <c r="Q92"/>
  <c r="Q48"/>
  <c r="Q35"/>
  <c r="Q10"/>
  <c r="G13" i="15"/>
  <c r="I13" s="1"/>
  <c r="B4"/>
  <c r="E11" i="10"/>
  <c r="B17" i="13"/>
  <c r="Q103" i="17" l="1"/>
  <c r="Q105" s="1"/>
  <c r="Q89"/>
  <c r="Q97" s="1"/>
  <c r="Q33"/>
  <c r="Q17"/>
  <c r="E15" i="10"/>
  <c r="Q20" i="17" l="1"/>
  <c r="Q23"/>
  <c r="Q52"/>
  <c r="Q67"/>
  <c r="Q57"/>
  <c r="Q29"/>
  <c r="Q64"/>
  <c r="Q61"/>
  <c r="Q42"/>
  <c r="Q39"/>
  <c r="Q13"/>
  <c r="L15" i="10"/>
  <c r="Q45" i="17" l="1"/>
  <c r="Q69" s="1"/>
  <c r="Q74"/>
  <c r="Q81" s="1"/>
  <c r="B29" i="13"/>
  <c r="B28"/>
  <c r="B27"/>
  <c r="B26"/>
  <c r="B25"/>
  <c r="B24"/>
  <c r="B23"/>
  <c r="B22"/>
  <c r="B21"/>
  <c r="B20"/>
  <c r="B19"/>
  <c r="B18"/>
  <c r="B16"/>
  <c r="B15"/>
  <c r="B14"/>
  <c r="B13"/>
  <c r="B12"/>
  <c r="B11"/>
  <c r="B10"/>
  <c r="B9"/>
  <c r="B8"/>
  <c r="B7"/>
  <c r="O180" i="11"/>
  <c r="O179"/>
  <c r="O171"/>
  <c r="O165"/>
  <c r="O166" s="1"/>
  <c r="C23" i="13" s="1"/>
  <c r="H23" s="1"/>
  <c r="O143" i="11"/>
  <c r="O141"/>
  <c r="O127"/>
  <c r="O122"/>
  <c r="O121"/>
  <c r="O120"/>
  <c r="O109"/>
  <c r="O94"/>
  <c r="O95"/>
  <c r="O93"/>
  <c r="O92"/>
  <c r="O91"/>
  <c r="O71"/>
  <c r="O72"/>
  <c r="O73"/>
  <c r="O74"/>
  <c r="O75"/>
  <c r="O76"/>
  <c r="O77"/>
  <c r="O70"/>
  <c r="O69"/>
  <c r="O60"/>
  <c r="O57"/>
  <c r="O58"/>
  <c r="O59"/>
  <c r="O42"/>
  <c r="O32"/>
  <c r="O31"/>
  <c r="O30"/>
  <c r="O29"/>
  <c r="O28"/>
  <c r="O27"/>
  <c r="O20"/>
  <c r="O21"/>
  <c r="O22"/>
  <c r="O23"/>
  <c r="O24"/>
  <c r="G3" i="12"/>
  <c r="X35"/>
  <c r="P36" s="1"/>
  <c r="W35"/>
  <c r="O36" s="1"/>
  <c r="V35"/>
  <c r="N36" s="1"/>
  <c r="U35"/>
  <c r="M36" s="1"/>
  <c r="T35"/>
  <c r="L36" s="1"/>
  <c r="S35"/>
  <c r="K36" s="1"/>
  <c r="R35"/>
  <c r="J36" s="1"/>
  <c r="P23"/>
  <c r="P37" s="1"/>
  <c r="P38" s="1"/>
  <c r="K20"/>
  <c r="J20"/>
  <c r="K19"/>
  <c r="J19"/>
  <c r="M18"/>
  <c r="K18"/>
  <c r="J18"/>
  <c r="M17"/>
  <c r="K15"/>
  <c r="J15"/>
  <c r="M12"/>
  <c r="K12"/>
  <c r="J12"/>
  <c r="O186" i="11"/>
  <c r="O187" s="1"/>
  <c r="C26" i="13" s="1"/>
  <c r="H26" s="1"/>
  <c r="O172" i="11"/>
  <c r="O170"/>
  <c r="O159"/>
  <c r="O153"/>
  <c r="O152"/>
  <c r="O142"/>
  <c r="O140"/>
  <c r="O139"/>
  <c r="O133"/>
  <c r="O115"/>
  <c r="O114"/>
  <c r="O113"/>
  <c r="O112"/>
  <c r="O108"/>
  <c r="O107"/>
  <c r="O106"/>
  <c r="O52"/>
  <c r="O51"/>
  <c r="O50"/>
  <c r="O49"/>
  <c r="O48"/>
  <c r="O43"/>
  <c r="O41"/>
  <c r="O40"/>
  <c r="O19"/>
  <c r="O18"/>
  <c r="O13"/>
  <c r="O12"/>
  <c r="C19" i="6"/>
  <c r="C9" i="7" s="1"/>
  <c r="O123" i="11" l="1"/>
  <c r="O61"/>
  <c r="O25"/>
  <c r="G35" s="1"/>
  <c r="O110"/>
  <c r="I117" s="1"/>
  <c r="O134"/>
  <c r="O144"/>
  <c r="O154"/>
  <c r="C21" i="13" s="1"/>
  <c r="H21" s="1"/>
  <c r="O160" i="11"/>
  <c r="C22" i="13" s="1"/>
  <c r="H22" s="1"/>
  <c r="O173" i="11"/>
  <c r="C24" i="13" s="1"/>
  <c r="H24" s="1"/>
  <c r="O53" i="11"/>
  <c r="O181"/>
  <c r="O33"/>
  <c r="K35" s="1"/>
  <c r="O14"/>
  <c r="C7" i="13" s="1"/>
  <c r="H7" s="1"/>
  <c r="K17" i="12"/>
  <c r="J17"/>
  <c r="O44" i="11"/>
  <c r="O78"/>
  <c r="O116"/>
  <c r="M117" s="1"/>
  <c r="E22" i="10"/>
  <c r="L22" s="1"/>
  <c r="E21"/>
  <c r="L21" s="1"/>
  <c r="L23" s="1"/>
  <c r="K11"/>
  <c r="K17" s="1"/>
  <c r="I11"/>
  <c r="I17" s="1"/>
  <c r="G11"/>
  <c r="G17" s="1"/>
  <c r="A2" i="3"/>
  <c r="G84" i="11" l="1"/>
  <c r="K84" s="1"/>
  <c r="O84" s="1"/>
  <c r="O86" s="1"/>
  <c r="C12" i="13"/>
  <c r="H12" s="1"/>
  <c r="I9" i="12"/>
  <c r="G202" i="11"/>
  <c r="O202" s="1"/>
  <c r="O203" s="1"/>
  <c r="C29" i="13" s="1"/>
  <c r="H29" s="1"/>
  <c r="C25"/>
  <c r="H25" s="1"/>
  <c r="I16" i="12"/>
  <c r="C19" i="13"/>
  <c r="H19" s="1"/>
  <c r="G191" i="11"/>
  <c r="I13" i="12"/>
  <c r="C17" i="13"/>
  <c r="H17" s="1"/>
  <c r="O96" i="11"/>
  <c r="C14" i="13" s="1"/>
  <c r="H14" s="1"/>
  <c r="C9"/>
  <c r="H9" s="1"/>
  <c r="C10"/>
  <c r="H10" s="1"/>
  <c r="I8" i="12"/>
  <c r="G192" i="11"/>
  <c r="O192" s="1"/>
  <c r="C20" i="13"/>
  <c r="H20" s="1"/>
  <c r="H33" s="1"/>
  <c r="C11"/>
  <c r="H11" s="1"/>
  <c r="O35" i="11"/>
  <c r="C8" i="13" s="1"/>
  <c r="H8" s="1"/>
  <c r="O117" i="11"/>
  <c r="C16" i="13" s="1"/>
  <c r="H16" s="1"/>
  <c r="O191" i="11"/>
  <c r="O193" s="1"/>
  <c r="O126"/>
  <c r="O128" s="1"/>
  <c r="O197" l="1"/>
  <c r="C28" i="13" s="1"/>
  <c r="H28" s="1"/>
  <c r="C27"/>
  <c r="H27" s="1"/>
  <c r="K13" i="12"/>
  <c r="J13"/>
  <c r="J9"/>
  <c r="M9"/>
  <c r="K9"/>
  <c r="I10"/>
  <c r="N10" s="1"/>
  <c r="N23" s="1"/>
  <c r="N37" s="1"/>
  <c r="N38" s="1"/>
  <c r="C13" i="13"/>
  <c r="H13" s="1"/>
  <c r="H34" s="1"/>
  <c r="C18"/>
  <c r="H18" s="1"/>
  <c r="I14" i="12"/>
  <c r="J8"/>
  <c r="L8"/>
  <c r="L23" s="1"/>
  <c r="L37" s="1"/>
  <c r="L38" s="1"/>
  <c r="K8"/>
  <c r="K16"/>
  <c r="M16"/>
  <c r="J16"/>
  <c r="O100" i="11"/>
  <c r="O101" s="1"/>
  <c r="C15" i="13" s="1"/>
  <c r="H15" s="1"/>
  <c r="I11" i="12"/>
  <c r="E9" i="3"/>
  <c r="E11"/>
  <c r="E13"/>
  <c r="E15"/>
  <c r="F8" i="7"/>
  <c r="J27" i="5"/>
  <c r="K27" s="1"/>
  <c r="J25"/>
  <c r="K25" s="1"/>
  <c r="J23"/>
  <c r="K23" s="1"/>
  <c r="J21"/>
  <c r="K21" s="1"/>
  <c r="F12"/>
  <c r="G12" s="1"/>
  <c r="G10"/>
  <c r="F10"/>
  <c r="F8"/>
  <c r="G8" s="1"/>
  <c r="F6"/>
  <c r="G6" s="1"/>
  <c r="F4"/>
  <c r="G4" s="1"/>
  <c r="B13" i="2"/>
  <c r="O11" i="12" l="1"/>
  <c r="O23" s="1"/>
  <c r="O37" s="1"/>
  <c r="O38" s="1"/>
  <c r="J11"/>
  <c r="K11"/>
  <c r="J14"/>
  <c r="K14"/>
  <c r="M23"/>
  <c r="M37" s="1"/>
  <c r="M38" s="1"/>
  <c r="H31" i="13"/>
  <c r="K29" i="5"/>
  <c r="C5" i="8"/>
  <c r="F5" s="1"/>
  <c r="G14" i="5"/>
  <c r="K31" s="1"/>
  <c r="E17" i="3"/>
  <c r="E19" s="1"/>
  <c r="B23" s="1"/>
  <c r="D23" s="1"/>
  <c r="D13" i="2"/>
  <c r="K23" i="12" l="1"/>
  <c r="K37" s="1"/>
  <c r="K38" s="1"/>
  <c r="J23"/>
  <c r="J37" s="1"/>
  <c r="J38" s="1"/>
  <c r="H35" i="13"/>
  <c r="D7" i="8"/>
  <c r="D7" i="2"/>
  <c r="O39" i="12" l="1"/>
  <c r="H32" i="13" s="1"/>
  <c r="H36" s="1"/>
  <c r="D8" i="2"/>
  <c r="D10" s="1"/>
  <c r="D15" s="1"/>
  <c r="D16" s="1"/>
  <c r="L11" i="10" l="1"/>
  <c r="L17" s="1"/>
  <c r="L19" s="1"/>
  <c r="E17"/>
  <c r="B20" i="2"/>
  <c r="L25" i="10" l="1"/>
  <c r="L26" s="1"/>
  <c r="G11" i="15"/>
  <c r="I11" s="1"/>
  <c r="I15" s="1"/>
  <c r="C15" i="26"/>
  <c r="C17" s="1"/>
  <c r="D20" i="2"/>
  <c r="E7" i="8" l="1"/>
  <c r="C10" i="7"/>
  <c r="E9" l="1"/>
  <c r="F9" l="1"/>
  <c r="F10" s="1"/>
  <c r="E10"/>
  <c r="C6" i="8" l="1"/>
  <c r="C7" s="1"/>
  <c r="F6"/>
  <c r="F7" s="1"/>
  <c r="E13" i="10"/>
  <c r="L13" s="1"/>
</calcChain>
</file>

<file path=xl/sharedStrings.xml><?xml version="1.0" encoding="utf-8"?>
<sst xmlns="http://schemas.openxmlformats.org/spreadsheetml/2006/main" count="1109" uniqueCount="364">
  <si>
    <t>DETAIL SHEET</t>
  </si>
  <si>
    <t>Sr. No.</t>
  </si>
  <si>
    <t>Name of Building</t>
  </si>
  <si>
    <t>Plinth Area</t>
  </si>
  <si>
    <t>Cost of Construction</t>
  </si>
  <si>
    <t>Cost of Water Sewerage &amp; Sanitation</t>
  </si>
  <si>
    <t>Cost of Electrification</t>
  </si>
  <si>
    <t>Cost of Sui Gas</t>
  </si>
  <si>
    <t>Grand Total</t>
  </si>
  <si>
    <t>Rate</t>
  </si>
  <si>
    <t>Amount</t>
  </si>
  <si>
    <t>Main Building</t>
  </si>
  <si>
    <t>i)</t>
  </si>
  <si>
    <t>Sft</t>
  </si>
  <si>
    <t xml:space="preserve"> </t>
  </si>
  <si>
    <t>Total:</t>
  </si>
  <si>
    <t>Grand Total:</t>
  </si>
  <si>
    <t>Rs. In Million:</t>
  </si>
  <si>
    <t>Cost</t>
  </si>
  <si>
    <t>Total Main Building:</t>
  </si>
  <si>
    <t>Say Rs. in Million:</t>
  </si>
  <si>
    <t>Unit Cost</t>
  </si>
  <si>
    <t>Total Cost</t>
  </si>
  <si>
    <t>iii)</t>
  </si>
  <si>
    <t>EXECUTIVE ENGINEER</t>
  </si>
  <si>
    <t>Compound Wall</t>
  </si>
  <si>
    <t>Main Gate</t>
  </si>
  <si>
    <t>Total C/W &amp; Gate</t>
  </si>
  <si>
    <t>A</t>
  </si>
  <si>
    <t>S. No.</t>
  </si>
  <si>
    <t>Item Description</t>
  </si>
  <si>
    <t>Qty. (Nos.)</t>
  </si>
  <si>
    <t>Unit Rate (Rupees)</t>
  </si>
  <si>
    <t>Amount (Rupees)</t>
  </si>
  <si>
    <t>Furniture</t>
  </si>
  <si>
    <t>TOTAL:</t>
  </si>
  <si>
    <t xml:space="preserve">Chair </t>
  </si>
  <si>
    <t xml:space="preserve">Tables </t>
  </si>
  <si>
    <t>Steel Alimirah</t>
  </si>
  <si>
    <t>TOTAL</t>
  </si>
  <si>
    <t xml:space="preserve">Sr. No </t>
  </si>
  <si>
    <t xml:space="preserve">Name of the post </t>
  </si>
  <si>
    <t>BPS</t>
  </si>
  <si>
    <t xml:space="preserve">Basic pay </t>
  </si>
  <si>
    <t xml:space="preserve">No. of post </t>
  </si>
  <si>
    <t>Per Month</t>
  </si>
  <si>
    <t>Total Per Year</t>
  </si>
  <si>
    <t>H S T</t>
  </si>
  <si>
    <t>J S T</t>
  </si>
  <si>
    <t>O T</t>
  </si>
  <si>
    <t>Naib Qasid.</t>
  </si>
  <si>
    <t xml:space="preserve">Chowkidar </t>
  </si>
  <si>
    <t>Total :</t>
  </si>
  <si>
    <t>Sr . No.</t>
  </si>
  <si>
    <t xml:space="preserve">Name of post </t>
  </si>
  <si>
    <t>Grade</t>
  </si>
  <si>
    <t>No. of post</t>
  </si>
  <si>
    <t>H.R.A</t>
  </si>
  <si>
    <t>M.A</t>
  </si>
  <si>
    <t>Washing Allow:</t>
  </si>
  <si>
    <t>25% Add:Adhoc Relief</t>
  </si>
  <si>
    <t>S.R./Ad:Relief(15+15=30%)</t>
  </si>
  <si>
    <t xml:space="preserve">Total per Month </t>
  </si>
  <si>
    <t xml:space="preserve">H S T </t>
  </si>
  <si>
    <t xml:space="preserve">        --</t>
  </si>
  <si>
    <t>J S T/ O T</t>
  </si>
  <si>
    <t>Naib Qasid</t>
  </si>
  <si>
    <t>Chowkidar</t>
  </si>
  <si>
    <t>G.Total:</t>
  </si>
  <si>
    <t>RECURRING COST</t>
  </si>
  <si>
    <t>REGULAR ALLOWANCES FOR STAFF</t>
  </si>
  <si>
    <t>A B S T R A C T</t>
  </si>
  <si>
    <t>(Rs. in Million)</t>
  </si>
  <si>
    <t xml:space="preserve">ABSTRACT </t>
  </si>
  <si>
    <t>ESCALATION CHARGES</t>
  </si>
  <si>
    <t>SR.</t>
  </si>
  <si>
    <t>YEAR</t>
  </si>
  <si>
    <t>ALLOCATION</t>
  </si>
  <si>
    <t>ESCALATION</t>
  </si>
  <si>
    <t>TOTAL COST</t>
  </si>
  <si>
    <t>NO.</t>
  </si>
  <si>
    <t>(RS. IN MILLION</t>
  </si>
  <si>
    <t>---</t>
  </si>
  <si>
    <t xml:space="preserve">Dual Desk </t>
  </si>
  <si>
    <t>EDUCATION WORKS DIVISION</t>
  </si>
  <si>
    <t>No. of Unit</t>
  </si>
  <si>
    <t>RS. IN MILLION:</t>
  </si>
  <si>
    <t>LIST OF FURNITURE</t>
  </si>
  <si>
    <t>WORK / ACTIVITY PLAN (BART CHART)</t>
  </si>
  <si>
    <t>CAPITAL COST.</t>
  </si>
  <si>
    <t>1% 3RD PARTY</t>
  </si>
  <si>
    <t>TOTAL.</t>
  </si>
  <si>
    <t>2016-2017</t>
  </si>
  <si>
    <t>2017-2018</t>
  </si>
  <si>
    <t>TOTAL:-</t>
  </si>
  <si>
    <t>REVENUE</t>
  </si>
  <si>
    <t>Main Building i/c Lav: Block</t>
  </si>
  <si>
    <t>B</t>
  </si>
  <si>
    <t>Total</t>
  </si>
  <si>
    <t>10% External Development Charges</t>
  </si>
  <si>
    <t>ASSISTANT ENGINEER</t>
  </si>
  <si>
    <t>EDUCATION WORKS SUB-DIVISION</t>
  </si>
  <si>
    <t>T.M.KHAN</t>
  </si>
  <si>
    <t>EDUCATION WORKS DIVISIN</t>
  </si>
  <si>
    <t>EDUCATION WORKS SUB-DIVISIN</t>
  </si>
  <si>
    <t>Taluka</t>
  </si>
  <si>
    <t>LIST OF SCHOOL BUILDINGS</t>
  </si>
  <si>
    <t>Name of Schools</t>
  </si>
  <si>
    <t>B.S.Karim</t>
  </si>
  <si>
    <t>T.G.Hyder</t>
  </si>
  <si>
    <t>ADP-166 Rehabilitation, Improvement / Renovation &amp; Provision for Missing Facilities in Existing Primary / Elementary Schools</t>
  </si>
  <si>
    <t>T.M.Khan.</t>
  </si>
  <si>
    <t>GBPS. Ahmed Memon.</t>
  </si>
  <si>
    <t>GGPS. Khuda Bux Khoso.</t>
  </si>
  <si>
    <t>GBPS. Allah Dino Samejo.</t>
  </si>
  <si>
    <t>GBPS. Qaboolpur.</t>
  </si>
  <si>
    <t>GBPS. Noor Mohammad Khor.</t>
  </si>
  <si>
    <t>GBPS. Gul Khan Nizamani.</t>
  </si>
  <si>
    <t>GBPS. Misri Abro.</t>
  </si>
  <si>
    <t>GBPS. Vikio Khamriyo.</t>
  </si>
  <si>
    <t>GBPS. Wangai Maheri.</t>
  </si>
  <si>
    <t>GBPS. Haji Abdullah Lashari.</t>
  </si>
  <si>
    <t>GBPS. Guhram Wassan.</t>
  </si>
  <si>
    <t>GBPS. Jamal Shoro.</t>
  </si>
  <si>
    <t>ADP-166 Rehabilitation, Improvement / Renovation &amp; Provision for Missing Facilities in Existing Primary / Elementary Schools @ GBPS. Saeed pur Taluka B.S.Karim Distt: T.M.Khan.</t>
  </si>
  <si>
    <t>GBPS. Saeed Pur</t>
  </si>
  <si>
    <t>NAME OF WORK:-</t>
  </si>
  <si>
    <t>MEASUREMENT SHEET.</t>
  </si>
  <si>
    <t>S.No</t>
  </si>
  <si>
    <t>Description</t>
  </si>
  <si>
    <t>MEASUREMENT</t>
  </si>
  <si>
    <t>Quantity</t>
  </si>
  <si>
    <t>No.</t>
  </si>
  <si>
    <t>Length</t>
  </si>
  <si>
    <t>Width</t>
  </si>
  <si>
    <t>Height/ Depth</t>
  </si>
  <si>
    <t>01</t>
  </si>
  <si>
    <t>Dismentling cement concrete reinforced separating refinorcement for cleaning and sarighening the same (S.I.No.20/P-10).</t>
  </si>
  <si>
    <t>Roof Slab.</t>
  </si>
  <si>
    <t>x</t>
  </si>
  <si>
    <t>=</t>
  </si>
  <si>
    <t>00</t>
  </si>
  <si>
    <t>Windows.</t>
  </si>
  <si>
    <t>02</t>
  </si>
  <si>
    <t>Dismentling brick work in lime or cement mortor (S.I.No.13/P-10).</t>
  </si>
  <si>
    <t>C/Wall.</t>
  </si>
  <si>
    <t>03</t>
  </si>
  <si>
    <t xml:space="preserve">Excavation of foundation of building bridges and other structure i/c dagbelling dressing refilling around structure with excavated lead upto one chain and lift upto 5' feet.(S.I.NO:18(b)P-4). </t>
  </si>
  <si>
    <t>Lav:/L/Wall.</t>
  </si>
  <si>
    <t>Lav:/ S /Wall.</t>
  </si>
  <si>
    <t>04</t>
  </si>
  <si>
    <t xml:space="preserve">Cement Concret brick or stone ballast 1-1/2" to 2"guage Ratio1:4:8(S.I.No:4/B/P-14). </t>
  </si>
  <si>
    <t>05</t>
  </si>
  <si>
    <t>Pacca brick work in foundation or plinth in cement sand morter1:6 (S.I.No.41/E/P-20)</t>
  </si>
  <si>
    <t>06</t>
  </si>
  <si>
    <t>R.C.C. work i/c all labour and material except the cost of steel reinforcement and its labour for bending binding which will be paid separately. This rate also i/c all kinds of forms moulds lifting shuttering curing rendering washing of shingle surface. (a) R.C.C work in roof slabs, beams, columns, rafts, lintels and other structural members laid in situ or precast laid in position, complete in all respects Ratio 1:2:4 (S.I No 6/p -18).</t>
  </si>
  <si>
    <t>Lav:</t>
  </si>
  <si>
    <t>.00</t>
  </si>
  <si>
    <t>Beam.</t>
  </si>
  <si>
    <t>07</t>
  </si>
  <si>
    <t>Fabrication of mild steel reinforcement for R.C.C i/c its labour for cutting bending binding and laying in position making joints and fastening i/c the cost of binding wire also removal of rust from bars (S.I.No. 7/ P- 19)</t>
  </si>
  <si>
    <t>(A)</t>
  </si>
  <si>
    <t>TOR BARS</t>
  </si>
  <si>
    <t>R.C.C x 5.0</t>
  </si>
  <si>
    <t>08</t>
  </si>
  <si>
    <t>09</t>
  </si>
  <si>
    <t>Filling, watering, and ramming earth under floors with new earth excavated from outside lead upto 1 chain and lift upto 5'ft (s.I.NO:22/P-05).</t>
  </si>
  <si>
    <t>DEDUCTION</t>
  </si>
  <si>
    <t>Pacca brick work in Ground Floor  i/c stricking of joints upto 20 ft: hieght in cement sand mortor ratio 1:6 (S.I. No. 05/P-24)</t>
  </si>
  <si>
    <t>C/R/L/Wall</t>
  </si>
  <si>
    <t>C/R/S/Wall</t>
  </si>
  <si>
    <t>Ver:/S/Wall.</t>
  </si>
  <si>
    <t>Lav: Door.</t>
  </si>
  <si>
    <t xml:space="preserve">Net Qty: </t>
  </si>
  <si>
    <t>( - )</t>
  </si>
  <si>
    <t>Cement Plaster 1:6 upto 20 ft. hight 1/2" thick (S.I.No. 13(b)/P - 57)</t>
  </si>
  <si>
    <t>Ver:</t>
  </si>
  <si>
    <t>Cement Plaster 1:4 upto 20 ft. hight 3/8" thick (S.I.No. 11(a)/P - 57)</t>
  </si>
  <si>
    <t>Same Qty : as Item.No(13) as  above.</t>
  </si>
  <si>
    <t>Laying white marble flooring fine dreassed on the surface without winding set in lime mortor 1:2 i/c rubbing and polishing of the joints 3/4" thick flooring (S.I No 28-a/P-43)</t>
  </si>
  <si>
    <t>C/Room.</t>
  </si>
  <si>
    <t>P/L Hala or patterned tiles glazed 8"x8"and 1/4" on floor or walls facing in required pattern of Stile specification jointed in white cement and pigment over a base of 1:2 grey cement mortar 3/4" thick I/c washing and filling of joints with slurry of white cement and pigment in desired shade with finishing, cleaning and wax polish etc complete i/c cutting tile to proper profile (S .I. No 62 /P-54)</t>
  </si>
  <si>
    <t>Side.</t>
  </si>
  <si>
    <t>Laying floor of approved with glazed tiles 1/4" thick laid in white cement and pigment on a bed of 3/4" thick cement mortor (S.I No 25/P-49)</t>
  </si>
  <si>
    <t>White glazed tiles 1/4" thick dadoo jointed in white cement and laid over 1:2 cement sand mortor 3/4" thick i/c finishing (S.I.No. 37/P-49)</t>
  </si>
  <si>
    <t>O/Roof</t>
  </si>
  <si>
    <t>C/R   Door</t>
  </si>
  <si>
    <t>B)</t>
  </si>
  <si>
    <t>S/F iron steel grill of 3/4" and 1/4" size flate iron of approved design i/c painting 3 coats etc. complete( weight not less than 3.7 Lb./ Sq: ft: of finished grill) (S.I.No.26/P-97)</t>
  </si>
  <si>
    <t>Window,</t>
  </si>
  <si>
    <t>First class deodar wood wrought joinery in doors &amp; windows fixed in position with chowkads i/c cleats cords hooks iron tower bolts hinges holds fasts deodar panelled or glazed or fully glazed 1-3/4" thick (S.I.No7/P-64)</t>
  </si>
  <si>
    <t>Primary coat of chalk under distemper (S.I.No.23/P-58)</t>
  </si>
  <si>
    <t>Distempering  03 coats . (S.I.No. 24(b )/P-60)</t>
  </si>
  <si>
    <t>Painting new surface preparing surface and door &amp; window any type i/c edges. (S.I.No.5(c )/ P-76)</t>
  </si>
  <si>
    <t>SUB-ENGINEER.</t>
  </si>
  <si>
    <t>Rehbalitation , Improvement / Renovation &amp; provision for Missing Facilities existing primary / Elementary school at GBPS. Saeedpur Taluka B.S.Karim District Tando Mohammad Khan.</t>
  </si>
  <si>
    <t>C/Wall Gate Col:</t>
  </si>
  <si>
    <t>CARRIAGE STATEMENT</t>
  </si>
  <si>
    <t>Name of work:-</t>
  </si>
  <si>
    <t>S.#</t>
  </si>
  <si>
    <t>NAME OF ITEMS</t>
  </si>
  <si>
    <t>Qty::</t>
  </si>
  <si>
    <t>Cement P.Bage</t>
  </si>
  <si>
    <t>Hill Sand       % Cft.</t>
  </si>
  <si>
    <t>Stone Ballast       % Cft.</t>
  </si>
  <si>
    <t>Shingle      %Cft.</t>
  </si>
  <si>
    <t>Steel  /  5 Ton</t>
  </si>
  <si>
    <t>Brick %0 No.</t>
  </si>
  <si>
    <t>Sand / Earth        % Cft.</t>
  </si>
  <si>
    <t>1</t>
  </si>
  <si>
    <t>Cement Concrete 1:4:8</t>
  </si>
  <si>
    <t>2</t>
  </si>
  <si>
    <t>R.C.C. 1:2:4</t>
  </si>
  <si>
    <t>3</t>
  </si>
  <si>
    <t>Steel</t>
  </si>
  <si>
    <t>4</t>
  </si>
  <si>
    <t>Pacca Brick Work 1:6</t>
  </si>
  <si>
    <t>5</t>
  </si>
  <si>
    <t>C.C.Plian 1 : 2 : 4</t>
  </si>
  <si>
    <t>6</t>
  </si>
  <si>
    <t xml:space="preserve">Cement Plaster 1:6 1/2", </t>
  </si>
  <si>
    <t>7</t>
  </si>
  <si>
    <t xml:space="preserve">Cement Plaster 1:4 3/8", </t>
  </si>
  <si>
    <t>8</t>
  </si>
  <si>
    <t xml:space="preserve">Cement Plaster 1:4 3/4", </t>
  </si>
  <si>
    <t>9</t>
  </si>
  <si>
    <t>C.C Topping (1: 2 : 4 ) 3" Thick</t>
  </si>
  <si>
    <t>10</t>
  </si>
  <si>
    <t>C.C Topping (1: 2 : 4 ) 2" Thick</t>
  </si>
  <si>
    <t>11</t>
  </si>
  <si>
    <t>C.C Topping (1: 2 : 4 ) 1-1/2" Thick</t>
  </si>
  <si>
    <t>12</t>
  </si>
  <si>
    <t>Cement pointing 1:2</t>
  </si>
  <si>
    <t>13</t>
  </si>
  <si>
    <t>Mosaic Tiles</t>
  </si>
  <si>
    <t>14</t>
  </si>
  <si>
    <t>Pit Sand/ Sweet Earth</t>
  </si>
  <si>
    <t>15</t>
  </si>
  <si>
    <t>D.P.C.</t>
  </si>
  <si>
    <t>TOTAL QUANTITY:-</t>
  </si>
  <si>
    <t>FOR HYDERABAD CITY</t>
  </si>
  <si>
    <t>FROM</t>
  </si>
  <si>
    <t>Hyd:</t>
  </si>
  <si>
    <t>Bholari</t>
  </si>
  <si>
    <t>Onger</t>
  </si>
  <si>
    <t>T.B.Khan</t>
  </si>
  <si>
    <t>T.Fazal</t>
  </si>
  <si>
    <t>LEAD IN MILES</t>
  </si>
  <si>
    <t xml:space="preserve"> PACCA</t>
  </si>
  <si>
    <t>KATCHA</t>
  </si>
  <si>
    <t>RATE AS PER SCHEDULE OF CARRAGE (PART IV,FIFTH EDITION, 2004) PUBLICATION NO.37(A) PACCA.</t>
  </si>
  <si>
    <t>1st Mile</t>
  </si>
  <si>
    <t>Rs.</t>
  </si>
  <si>
    <t>2nd Mile</t>
  </si>
  <si>
    <t>3rd Mile</t>
  </si>
  <si>
    <t>4th Mile</t>
  </si>
  <si>
    <t>5th Mile</t>
  </si>
  <si>
    <t>6th Mile</t>
  </si>
  <si>
    <t xml:space="preserve">TOTAL (A) </t>
  </si>
  <si>
    <t>7TH &amp; SUBSEQUENT MILES</t>
  </si>
  <si>
    <t>TOTAL RATE (A+B)</t>
  </si>
  <si>
    <t>TOTAL AMOUNT:-</t>
  </si>
  <si>
    <t>G-TOTAL:-</t>
  </si>
  <si>
    <t xml:space="preserve">  </t>
  </si>
  <si>
    <t>ABSTRACT   SHEET.</t>
  </si>
  <si>
    <t>Rate.</t>
  </si>
  <si>
    <t>Unit.</t>
  </si>
  <si>
    <t>Cft</t>
  </si>
  <si>
    <t>%.Cft</t>
  </si>
  <si>
    <t>Rs:</t>
  </si>
  <si>
    <t>%Cft</t>
  </si>
  <si>
    <t>%.OCft</t>
  </si>
  <si>
    <t>P.Cft</t>
  </si>
  <si>
    <t>Cwt</t>
  </si>
  <si>
    <t>P.Cwt</t>
  </si>
  <si>
    <t>% Sft</t>
  </si>
  <si>
    <t>P.Sft</t>
  </si>
  <si>
    <t>S.ft</t>
  </si>
  <si>
    <t>%.Sft</t>
  </si>
  <si>
    <t xml:space="preserve">Cost of Carriage </t>
  </si>
  <si>
    <t>Ded: 20% Below on Marble/Tiles.</t>
  </si>
  <si>
    <t>Add: 10% Above on Fabrication.</t>
  </si>
  <si>
    <t>Add: (1%) Contingencies</t>
  </si>
  <si>
    <t>G.Total  Part --  A.</t>
  </si>
  <si>
    <t xml:space="preserve">S  A  Y  :  -     </t>
  </si>
  <si>
    <t>M/B. L/Wall.</t>
  </si>
  <si>
    <t>M/B. S/Wall.</t>
  </si>
  <si>
    <t>Ver: S/Wall.</t>
  </si>
  <si>
    <t>Deducation.</t>
  </si>
  <si>
    <t>Door.</t>
  </si>
  <si>
    <t>Opp:</t>
  </si>
  <si>
    <t xml:space="preserve">Ver: </t>
  </si>
  <si>
    <t>M/gate.</t>
  </si>
  <si>
    <t>Net  Qty:</t>
  </si>
  <si>
    <t xml:space="preserve"> (  -  ) </t>
  </si>
  <si>
    <t>C/R. U / Floor.</t>
  </si>
  <si>
    <t>Path.</t>
  </si>
  <si>
    <t>C/R L/Wall.</t>
  </si>
  <si>
    <t>C/R S/Wall.</t>
  </si>
  <si>
    <t>Steps.</t>
  </si>
  <si>
    <t>P.Beam L/Wall.</t>
  </si>
  <si>
    <t>P.Beam S/Wall.</t>
  </si>
  <si>
    <t>"   Ver: S/Wall.</t>
  </si>
  <si>
    <t>Lintel . L/Wall.</t>
  </si>
  <si>
    <t>Lintel . S/Wall.</t>
  </si>
  <si>
    <t>"    Ver: S/Wall.</t>
  </si>
  <si>
    <t>OHT Slab.</t>
  </si>
  <si>
    <t>Add: Extra lead 06 (Miles).</t>
  </si>
  <si>
    <t>C/Room I/S.</t>
  </si>
  <si>
    <t>MB. O/S.</t>
  </si>
  <si>
    <t>"   F/Side.</t>
  </si>
  <si>
    <t>Qty: same as item No.8.</t>
  </si>
  <si>
    <t>OHT.</t>
  </si>
  <si>
    <t>(9.0+4.0)</t>
  </si>
  <si>
    <t>C/R. Door.</t>
  </si>
  <si>
    <t>C/R. Windows.</t>
  </si>
  <si>
    <t>O/S. B/F.</t>
  </si>
  <si>
    <t>(18.0+16.0)</t>
  </si>
  <si>
    <t>(94.50+6.0)</t>
  </si>
  <si>
    <t>(96.83+25.50)</t>
  </si>
  <si>
    <t>M/Bldg:</t>
  </si>
  <si>
    <t>(94.0+25.83)</t>
  </si>
  <si>
    <t>Providing and laying 3" thick topping cement concrete 1:2:4 I/c  surface finishing and dividing into panells.(S.I.No:16/C/P-47).</t>
  </si>
  <si>
    <t>M/Bldg: F/Side.</t>
  </si>
  <si>
    <t>Office Floor.</t>
  </si>
  <si>
    <t>Office .</t>
  </si>
  <si>
    <t>M/B. O/Side.</t>
  </si>
  <si>
    <t>Same Qty : as Item.No(19) as  above.=</t>
  </si>
  <si>
    <t>Same Qty : as Item.No( 21 ) as  above.</t>
  </si>
  <si>
    <t>Same Qty : as Item.No(14) as  above.=</t>
  </si>
  <si>
    <t>Same Qty : as Item.No(11) as  above.=</t>
  </si>
  <si>
    <t>Providing and laying 2" thick topping cement concrete 1:2:4 I/c  surface finishing and dividing into panells.(S.I.No:16/C/P-47).</t>
  </si>
  <si>
    <t>ABSTRACT SHEET</t>
  </si>
  <si>
    <t>S.NO:</t>
  </si>
  <si>
    <t>NAME OF BUILDINGS</t>
  </si>
  <si>
    <t>COST OF</t>
  </si>
  <si>
    <t>NO: OF</t>
  </si>
  <si>
    <t>AMOUNT</t>
  </si>
  <si>
    <t>ONE UNIT</t>
  </si>
  <si>
    <t>UNIT</t>
  </si>
  <si>
    <t>IN RS:</t>
  </si>
  <si>
    <t>Say Rs (in Million):-</t>
  </si>
  <si>
    <t>Lav: Block</t>
  </si>
  <si>
    <t>Compound Wall i/c Main Gate.</t>
  </si>
  <si>
    <t>Total:-</t>
  </si>
  <si>
    <t>P.Cft.</t>
  </si>
  <si>
    <t>%0.Cft</t>
  </si>
  <si>
    <t>Part................B.</t>
  </si>
  <si>
    <t>Part................C.</t>
  </si>
  <si>
    <t>Part..........D.</t>
  </si>
  <si>
    <t>ii)</t>
  </si>
  <si>
    <t xml:space="preserve">Verona Marble </t>
  </si>
  <si>
    <t>NAME OF OF COMPONENT.</t>
  </si>
  <si>
    <t>Main Building .</t>
  </si>
  <si>
    <t>Compound Wall.</t>
  </si>
  <si>
    <t>Rs. ( In Million).</t>
  </si>
  <si>
    <t>SCHEDULE - B.</t>
  </si>
  <si>
    <t>Unit</t>
  </si>
  <si>
    <t>Providing &amp; Fixing printed Glazed Proceline tile 18"18" finished in white cement of laid over a bed of 1/2" thick gray cement sand mortar ratio 1"3 using / filling of joints with white cement etc. (R.  A ).</t>
  </si>
  <si>
    <t>Total Part- A.</t>
  </si>
  <si>
    <t>Total Part- B.</t>
  </si>
  <si>
    <t>Total Part- C.</t>
  </si>
  <si>
    <t>Total Part- D.</t>
  </si>
  <si>
    <t>G.  Total :-</t>
  </si>
</sst>
</file>

<file path=xl/styles.xml><?xml version="1.0" encoding="utf-8"?>
<styleSheet xmlns="http://schemas.openxmlformats.org/spreadsheetml/2006/main">
  <numFmts count="8">
    <numFmt numFmtId="44" formatCode="_(&quot;$&quot;* #,##0.00_);_(&quot;$&quot;* \(#,##0.00\);_(&quot;$&quot;* &quot;-&quot;??_);_(@_)"/>
    <numFmt numFmtId="43" formatCode="_(* #,##0.00_);_(* \(#,##0.00\);_(* &quot;-&quot;??_);_(@_)"/>
    <numFmt numFmtId="164" formatCode="0.000"/>
    <numFmt numFmtId="165" formatCode="_(* #,##0.000_);_(* \(#,##0.000\);_(* &quot;-&quot;??_);_(@_)"/>
    <numFmt numFmtId="166" formatCode="0.0"/>
    <numFmt numFmtId="167" formatCode="#,##0.000_);\(#,##0.000\)"/>
    <numFmt numFmtId="168" formatCode="0.0_)"/>
    <numFmt numFmtId="169" formatCode="_(* #,##0_);_(* \(#,##0\);_(* &quot;-&quot;??_);_(@_)"/>
  </numFmts>
  <fonts count="51">
    <font>
      <sz val="10"/>
      <name val="Arial"/>
    </font>
    <font>
      <b/>
      <sz val="16"/>
      <name val="Arial"/>
      <family val="2"/>
    </font>
    <font>
      <b/>
      <sz val="14"/>
      <name val="Arial"/>
      <family val="2"/>
    </font>
    <font>
      <sz val="9"/>
      <name val="Arial"/>
      <family val="2"/>
    </font>
    <font>
      <b/>
      <sz val="9"/>
      <name val="Arial"/>
      <family val="2"/>
    </font>
    <font>
      <sz val="10"/>
      <name val="Arial"/>
      <family val="2"/>
    </font>
    <font>
      <b/>
      <u/>
      <sz val="12"/>
      <name val="Arial"/>
      <family val="2"/>
    </font>
    <font>
      <b/>
      <sz val="12"/>
      <name val="Arial"/>
      <family val="2"/>
    </font>
    <font>
      <b/>
      <sz val="11"/>
      <name val="Arial"/>
      <family val="2"/>
    </font>
    <font>
      <sz val="11"/>
      <name val="Arial"/>
      <family val="2"/>
    </font>
    <font>
      <b/>
      <u/>
      <sz val="11"/>
      <name val="Arial"/>
      <family val="2"/>
    </font>
    <font>
      <sz val="10"/>
      <name val="Arial"/>
      <family val="2"/>
    </font>
    <font>
      <b/>
      <sz val="10"/>
      <name val="Arial"/>
      <family val="2"/>
    </font>
    <font>
      <sz val="12"/>
      <name val="Arial"/>
      <family val="2"/>
    </font>
    <font>
      <b/>
      <u/>
      <sz val="20"/>
      <name val="Arial"/>
      <family val="2"/>
    </font>
    <font>
      <sz val="20"/>
      <name val="Arial"/>
      <family val="2"/>
    </font>
    <font>
      <b/>
      <u/>
      <sz val="10"/>
      <name val="Arial"/>
      <family val="2"/>
    </font>
    <font>
      <b/>
      <i/>
      <sz val="12"/>
      <name val="Arial"/>
      <family val="2"/>
    </font>
    <font>
      <sz val="14"/>
      <name val="Arial"/>
      <family val="2"/>
    </font>
    <font>
      <sz val="10"/>
      <name val="Antique Olive"/>
      <family val="2"/>
    </font>
    <font>
      <b/>
      <u/>
      <sz val="18"/>
      <name val="Antique Olive"/>
      <family val="2"/>
    </font>
    <font>
      <b/>
      <sz val="14"/>
      <name val="Antique Olive"/>
      <family val="2"/>
    </font>
    <font>
      <b/>
      <sz val="10"/>
      <name val="Antique Olive"/>
      <family val="2"/>
    </font>
    <font>
      <sz val="10"/>
      <name val="Arial Black"/>
      <family val="2"/>
    </font>
    <font>
      <b/>
      <sz val="12"/>
      <name val="Arial Black"/>
      <family val="2"/>
    </font>
    <font>
      <b/>
      <sz val="10"/>
      <name val="Arial Black"/>
      <family val="2"/>
    </font>
    <font>
      <sz val="10"/>
      <name val="Arial"/>
      <family val="2"/>
    </font>
    <font>
      <sz val="10"/>
      <name val="Times New Roman"/>
      <family val="1"/>
    </font>
    <font>
      <b/>
      <u/>
      <sz val="14"/>
      <name val="Arial"/>
      <family val="2"/>
    </font>
    <font>
      <b/>
      <u/>
      <sz val="13"/>
      <name val="Arial"/>
      <family val="2"/>
    </font>
    <font>
      <b/>
      <u/>
      <sz val="18"/>
      <name val="Arial"/>
      <family val="2"/>
    </font>
    <font>
      <b/>
      <u/>
      <sz val="16"/>
      <name val="Arial"/>
      <family val="2"/>
    </font>
    <font>
      <sz val="10"/>
      <name val="Arial"/>
      <family val="2"/>
    </font>
    <font>
      <b/>
      <u/>
      <sz val="11"/>
      <name val="Times New Roman"/>
      <family val="1"/>
    </font>
    <font>
      <sz val="11"/>
      <name val="Times New Roman"/>
      <family val="1"/>
    </font>
    <font>
      <b/>
      <sz val="11"/>
      <name val="Times New Roman"/>
      <family val="1"/>
    </font>
    <font>
      <b/>
      <u/>
      <sz val="12"/>
      <name val="Times New Roman"/>
      <family val="1"/>
    </font>
    <font>
      <b/>
      <u/>
      <sz val="18"/>
      <name val="Times New Roman"/>
      <family val="1"/>
    </font>
    <font>
      <sz val="11"/>
      <color indexed="8"/>
      <name val="Times New Roman"/>
      <family val="1"/>
    </font>
    <font>
      <u/>
      <sz val="11"/>
      <name val="Times New Roman"/>
      <family val="1"/>
    </font>
    <font>
      <sz val="11"/>
      <name val="Trebuchet MS"/>
      <family val="2"/>
    </font>
    <font>
      <b/>
      <u/>
      <sz val="16"/>
      <name val="Times New Roman"/>
      <family val="1"/>
    </font>
    <font>
      <b/>
      <sz val="12"/>
      <name val="Times New Roman"/>
      <family val="1"/>
    </font>
    <font>
      <sz val="12"/>
      <name val="Times New Roman"/>
      <family val="1"/>
    </font>
    <font>
      <b/>
      <u/>
      <sz val="20"/>
      <name val="Times New Roman"/>
      <family val="1"/>
    </font>
    <font>
      <b/>
      <sz val="16"/>
      <name val="Times New Roman"/>
      <family val="1"/>
    </font>
    <font>
      <sz val="16"/>
      <name val="Times New Roman"/>
      <family val="1"/>
    </font>
    <font>
      <b/>
      <sz val="14"/>
      <name val="Times New Roman"/>
      <family val="1"/>
    </font>
    <font>
      <u/>
      <sz val="12"/>
      <name val="Times New Roman"/>
      <family val="1"/>
    </font>
    <font>
      <b/>
      <sz val="10"/>
      <name val="Times New Roman"/>
      <family val="1"/>
    </font>
    <font>
      <b/>
      <u/>
      <sz val="16"/>
      <color theme="1"/>
      <name val="Calibri"/>
      <family val="2"/>
      <scheme val="minor"/>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8"/>
      </left>
      <right style="double">
        <color indexed="8"/>
      </right>
      <top style="double">
        <color indexed="8"/>
      </top>
      <bottom/>
      <diagonal/>
    </border>
    <border>
      <left style="double">
        <color indexed="8"/>
      </left>
      <right/>
      <top style="double">
        <color indexed="8"/>
      </top>
      <bottom/>
      <diagonal/>
    </border>
    <border>
      <left/>
      <right/>
      <top style="double">
        <color indexed="8"/>
      </top>
      <bottom/>
      <diagonal/>
    </border>
    <border>
      <left/>
      <right style="double">
        <color indexed="8"/>
      </right>
      <top style="double">
        <color indexed="8"/>
      </top>
      <bottom/>
      <diagonal/>
    </border>
    <border>
      <left style="double">
        <color indexed="8"/>
      </left>
      <right style="double">
        <color indexed="8"/>
      </right>
      <top/>
      <bottom style="double">
        <color indexed="8"/>
      </bottom>
      <diagonal/>
    </border>
    <border>
      <left style="double">
        <color indexed="8"/>
      </left>
      <right/>
      <top/>
      <bottom style="double">
        <color indexed="8"/>
      </bottom>
      <diagonal/>
    </border>
    <border>
      <left/>
      <right/>
      <top/>
      <bottom style="double">
        <color indexed="8"/>
      </bottom>
      <diagonal/>
    </border>
    <border>
      <left/>
      <right style="double">
        <color indexed="8"/>
      </right>
      <top/>
      <bottom style="double">
        <color indexed="8"/>
      </bottom>
      <diagonal/>
    </border>
    <border>
      <left/>
      <right/>
      <top style="thin">
        <color indexed="64"/>
      </top>
      <bottom style="double">
        <color indexed="64"/>
      </bottom>
      <diagonal/>
    </border>
    <border>
      <left/>
      <right/>
      <top/>
      <bottom style="double">
        <color indexed="64"/>
      </bottom>
      <diagonal/>
    </border>
  </borders>
  <cellStyleXfs count="11">
    <xf numFmtId="0" fontId="0" fillId="0" borderId="0"/>
    <xf numFmtId="43" fontId="5" fillId="0" borderId="0" applyFont="0" applyFill="0" applyBorder="0" applyAlignment="0" applyProtection="0"/>
    <xf numFmtId="0" fontId="11" fillId="0" borderId="0"/>
    <xf numFmtId="43" fontId="11"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9" fontId="26" fillId="0" borderId="0" applyFont="0" applyFill="0" applyBorder="0" applyAlignment="0" applyProtection="0"/>
    <xf numFmtId="44" fontId="32" fillId="0" borderId="0" applyFont="0" applyFill="0" applyBorder="0" applyAlignment="0" applyProtection="0"/>
  </cellStyleXfs>
  <cellXfs count="535">
    <xf numFmtId="0" fontId="0" fillId="0" borderId="0" xfId="0"/>
    <xf numFmtId="0" fontId="0" fillId="0" borderId="0" xfId="0" applyAlignment="1">
      <alignment vertical="top" wrapText="1"/>
    </xf>
    <xf numFmtId="0" fontId="2" fillId="0" borderId="0" xfId="0" applyFont="1" applyAlignment="1">
      <alignment horizontal="center" vertical="top" wrapText="1"/>
    </xf>
    <xf numFmtId="0" fontId="3" fillId="0" borderId="0" xfId="0" applyFont="1" applyAlignment="1">
      <alignment vertical="top" wrapText="1"/>
    </xf>
    <xf numFmtId="0" fontId="8" fillId="0" borderId="7" xfId="0" applyFont="1" applyBorder="1" applyAlignment="1">
      <alignment horizontal="center" vertical="top" wrapText="1"/>
    </xf>
    <xf numFmtId="0" fontId="9" fillId="0" borderId="0" xfId="0" applyFont="1" applyAlignment="1">
      <alignment horizontal="center" vertical="top" wrapText="1"/>
    </xf>
    <xf numFmtId="0" fontId="8" fillId="0" borderId="0" xfId="0" applyFont="1" applyBorder="1" applyAlignment="1">
      <alignment horizontal="center" vertical="top" wrapText="1"/>
    </xf>
    <xf numFmtId="0" fontId="8" fillId="0" borderId="0" xfId="0" applyFont="1" applyAlignment="1">
      <alignment horizontal="center" vertical="top" wrapText="1"/>
    </xf>
    <xf numFmtId="0" fontId="10" fillId="0" borderId="0" xfId="0" applyFont="1" applyAlignment="1">
      <alignment vertical="top" wrapText="1"/>
    </xf>
    <xf numFmtId="2" fontId="9" fillId="0" borderId="0" xfId="1" applyNumberFormat="1" applyFont="1" applyAlignment="1">
      <alignment horizontal="center" vertical="top" wrapText="1"/>
    </xf>
    <xf numFmtId="0" fontId="9" fillId="0" borderId="0" xfId="0" applyFont="1" applyAlignment="1">
      <alignment vertical="top" wrapText="1"/>
    </xf>
    <xf numFmtId="0" fontId="8" fillId="0" borderId="0" xfId="0" applyFont="1" applyAlignment="1">
      <alignment vertical="top" wrapText="1"/>
    </xf>
    <xf numFmtId="0" fontId="9" fillId="0" borderId="0" xfId="0" quotePrefix="1" applyFont="1" applyAlignment="1">
      <alignment horizontal="left" vertical="top" wrapText="1"/>
    </xf>
    <xf numFmtId="0" fontId="8" fillId="0" borderId="0" xfId="0" applyFont="1" applyAlignment="1">
      <alignment horizontal="right" vertical="top" wrapText="1"/>
    </xf>
    <xf numFmtId="2" fontId="9" fillId="0" borderId="0" xfId="0" applyNumberFormat="1" applyFont="1" applyAlignment="1">
      <alignment vertical="top" wrapText="1"/>
    </xf>
    <xf numFmtId="0" fontId="9" fillId="0" borderId="0" xfId="0" applyFont="1" applyAlignment="1">
      <alignment horizontal="center" vertical="center" wrapText="1"/>
    </xf>
    <xf numFmtId="0" fontId="7" fillId="0" borderId="3"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vertical="center" wrapText="1"/>
    </xf>
    <xf numFmtId="164" fontId="7" fillId="0" borderId="3" xfId="0" applyNumberFormat="1" applyFont="1" applyBorder="1" applyAlignment="1">
      <alignment horizontal="center" vertical="center" wrapText="1"/>
    </xf>
    <xf numFmtId="0" fontId="0" fillId="0" borderId="0" xfId="0" applyAlignment="1">
      <alignment horizontal="center" vertical="top" wrapText="1"/>
    </xf>
    <xf numFmtId="0" fontId="9" fillId="0" borderId="0" xfId="2" applyFont="1" applyAlignment="1">
      <alignment vertical="top" wrapText="1"/>
    </xf>
    <xf numFmtId="0" fontId="12" fillId="0" borderId="0" xfId="2" applyFont="1" applyAlignment="1">
      <alignment horizontal="center" vertical="top" wrapText="1"/>
    </xf>
    <xf numFmtId="0" fontId="11" fillId="0" borderId="0" xfId="2" applyFont="1" applyAlignment="1">
      <alignment vertical="top" wrapText="1"/>
    </xf>
    <xf numFmtId="0" fontId="7" fillId="0" borderId="1" xfId="2" applyFont="1" applyBorder="1" applyAlignment="1">
      <alignment horizontal="center" vertical="top" wrapText="1"/>
    </xf>
    <xf numFmtId="0" fontId="8" fillId="0" borderId="3" xfId="2" applyFont="1" applyBorder="1" applyAlignment="1">
      <alignment horizontal="center" vertical="top" wrapText="1"/>
    </xf>
    <xf numFmtId="0" fontId="8" fillId="0" borderId="11" xfId="2" applyFont="1" applyBorder="1" applyAlignment="1">
      <alignment horizontal="center" vertical="top" wrapText="1"/>
    </xf>
    <xf numFmtId="0" fontId="8" fillId="0" borderId="0" xfId="2" applyFont="1" applyAlignment="1">
      <alignment horizontal="center" vertical="top" wrapText="1"/>
    </xf>
    <xf numFmtId="0" fontId="8" fillId="0" borderId="0" xfId="2" applyFont="1" applyBorder="1" applyAlignment="1">
      <alignment horizontal="center" vertical="top" wrapText="1"/>
    </xf>
    <xf numFmtId="0" fontId="8" fillId="0" borderId="0" xfId="2" applyFont="1" applyAlignment="1">
      <alignment vertical="top" wrapText="1"/>
    </xf>
    <xf numFmtId="0" fontId="9" fillId="0" borderId="0" xfId="2" applyFont="1" applyAlignment="1">
      <alignment horizontal="center" vertical="top" wrapText="1"/>
    </xf>
    <xf numFmtId="0" fontId="9" fillId="0" borderId="0" xfId="2" applyFont="1" applyBorder="1" applyAlignment="1">
      <alignment vertical="top" wrapText="1"/>
    </xf>
    <xf numFmtId="0" fontId="10" fillId="0" borderId="3" xfId="2" applyFont="1" applyBorder="1" applyAlignment="1">
      <alignment vertical="top" wrapText="1"/>
    </xf>
    <xf numFmtId="0" fontId="9" fillId="0" borderId="3" xfId="2" applyFont="1" applyBorder="1" applyAlignment="1">
      <alignment horizontal="center" vertical="top" wrapText="1"/>
    </xf>
    <xf numFmtId="0" fontId="9" fillId="0" borderId="3" xfId="2" applyFont="1" applyBorder="1" applyAlignment="1">
      <alignment vertical="top" wrapText="1"/>
    </xf>
    <xf numFmtId="0" fontId="8" fillId="0" borderId="3" xfId="2" applyFont="1" applyBorder="1" applyAlignment="1">
      <alignment vertical="top" wrapText="1"/>
    </xf>
    <xf numFmtId="0" fontId="9" fillId="0" borderId="12" xfId="2" applyFont="1" applyBorder="1" applyAlignment="1">
      <alignment vertical="top" wrapText="1"/>
    </xf>
    <xf numFmtId="0" fontId="9" fillId="0" borderId="13" xfId="2" applyFont="1" applyBorder="1" applyAlignment="1">
      <alignment vertical="top" wrapText="1"/>
    </xf>
    <xf numFmtId="0" fontId="9" fillId="0" borderId="13" xfId="2" applyFont="1" applyBorder="1" applyAlignment="1">
      <alignment horizontal="center" vertical="top" wrapText="1"/>
    </xf>
    <xf numFmtId="0" fontId="8" fillId="0" borderId="1" xfId="2" applyFont="1" applyBorder="1" applyAlignment="1">
      <alignment vertical="top" wrapText="1"/>
    </xf>
    <xf numFmtId="0" fontId="8" fillId="0" borderId="1" xfId="2" applyFont="1" applyBorder="1" applyAlignment="1">
      <alignment horizontal="center" vertical="top" wrapText="1"/>
    </xf>
    <xf numFmtId="0" fontId="9" fillId="0" borderId="0" xfId="2" applyFont="1" applyBorder="1" applyAlignment="1">
      <alignment horizontal="center" vertical="top" wrapText="1"/>
    </xf>
    <xf numFmtId="2" fontId="9" fillId="0" borderId="3" xfId="2" applyNumberFormat="1" applyFont="1" applyBorder="1" applyAlignment="1">
      <alignment horizontal="center" vertical="top" wrapText="1"/>
    </xf>
    <xf numFmtId="43" fontId="9" fillId="0" borderId="3" xfId="1" applyFont="1" applyBorder="1" applyAlignment="1">
      <alignment horizontal="center" vertical="top" wrapText="1"/>
    </xf>
    <xf numFmtId="43" fontId="8" fillId="0" borderId="3" xfId="2" applyNumberFormat="1" applyFont="1" applyBorder="1" applyAlignment="1">
      <alignment horizontal="center" vertical="top" wrapText="1"/>
    </xf>
    <xf numFmtId="43" fontId="8" fillId="0" borderId="3" xfId="1" applyFont="1" applyBorder="1" applyAlignment="1">
      <alignment horizontal="center" vertical="top" wrapText="1"/>
    </xf>
    <xf numFmtId="43" fontId="9" fillId="0" borderId="3" xfId="2" applyNumberFormat="1" applyFont="1" applyBorder="1" applyAlignment="1">
      <alignment horizontal="center" vertical="top" wrapText="1"/>
    </xf>
    <xf numFmtId="0" fontId="11" fillId="0" borderId="0" xfId="2" applyFont="1" applyAlignment="1">
      <alignment horizontal="center" vertical="top" wrapText="1"/>
    </xf>
    <xf numFmtId="0" fontId="13" fillId="0" borderId="0" xfId="2" applyFont="1" applyAlignment="1">
      <alignment horizontal="center" vertical="top" wrapText="1"/>
    </xf>
    <xf numFmtId="0" fontId="8" fillId="0" borderId="13" xfId="2" applyFont="1" applyBorder="1" applyAlignment="1">
      <alignment horizontal="center" vertical="top" wrapText="1"/>
    </xf>
    <xf numFmtId="43" fontId="8" fillId="0" borderId="13" xfId="2" applyNumberFormat="1" applyFont="1" applyBorder="1" applyAlignment="1">
      <alignment horizontal="center" vertical="top" wrapText="1"/>
    </xf>
    <xf numFmtId="43" fontId="8" fillId="0" borderId="0" xfId="2" applyNumberFormat="1" applyFont="1" applyBorder="1" applyAlignment="1">
      <alignment horizontal="center" vertical="top" wrapText="1"/>
    </xf>
    <xf numFmtId="0" fontId="15" fillId="0" borderId="0" xfId="2" applyFont="1" applyAlignment="1">
      <alignment vertical="top" wrapText="1"/>
    </xf>
    <xf numFmtId="43" fontId="9" fillId="0" borderId="11" xfId="1" applyFont="1" applyBorder="1" applyAlignment="1">
      <alignment horizontal="center" vertical="top" wrapText="1"/>
    </xf>
    <xf numFmtId="43" fontId="8" fillId="0" borderId="11" xfId="1" applyFont="1" applyBorder="1" applyAlignment="1">
      <alignment horizontal="center" vertical="top" wrapText="1"/>
    </xf>
    <xf numFmtId="0" fontId="11" fillId="0" borderId="0" xfId="0" applyFont="1" applyAlignment="1">
      <alignment vertical="top" wrapText="1"/>
    </xf>
    <xf numFmtId="0" fontId="12" fillId="0" borderId="0" xfId="0" applyFont="1" applyAlignment="1">
      <alignment horizontal="center" vertical="top" wrapText="1"/>
    </xf>
    <xf numFmtId="0" fontId="16" fillId="0" borderId="0" xfId="0" applyFont="1" applyAlignment="1">
      <alignment horizontal="left" vertical="top" wrapText="1"/>
    </xf>
    <xf numFmtId="1" fontId="11" fillId="0" borderId="0" xfId="0" applyNumberFormat="1" applyFont="1" applyAlignment="1">
      <alignment vertical="top" wrapText="1"/>
    </xf>
    <xf numFmtId="2" fontId="11" fillId="0" borderId="0" xfId="0" applyNumberFormat="1" applyFont="1" applyAlignment="1">
      <alignment horizontal="center" vertical="top" wrapText="1"/>
    </xf>
    <xf numFmtId="2" fontId="11" fillId="0" borderId="0" xfId="0" applyNumberFormat="1" applyFont="1" applyAlignment="1">
      <alignment vertical="top" wrapText="1"/>
    </xf>
    <xf numFmtId="0" fontId="12" fillId="0" borderId="0" xfId="0" applyFont="1" applyAlignment="1">
      <alignment horizontal="right" vertical="top" wrapText="1"/>
    </xf>
    <xf numFmtId="0" fontId="11" fillId="0" borderId="0" xfId="0" applyFont="1" applyAlignment="1">
      <alignment horizontal="right" vertical="top" wrapText="1"/>
    </xf>
    <xf numFmtId="1" fontId="11" fillId="0" borderId="0" xfId="0" applyNumberFormat="1" applyFont="1" applyAlignment="1">
      <alignment horizontal="center" vertical="top" wrapText="1"/>
    </xf>
    <xf numFmtId="0" fontId="11" fillId="0" borderId="0" xfId="0" applyFont="1" applyAlignment="1">
      <alignment horizontal="left" vertical="top" wrapText="1"/>
    </xf>
    <xf numFmtId="2" fontId="12" fillId="0" borderId="3" xfId="0" applyNumberFormat="1" applyFont="1" applyBorder="1" applyAlignment="1">
      <alignment vertical="top" wrapText="1"/>
    </xf>
    <xf numFmtId="0" fontId="11" fillId="0" borderId="0" xfId="0" applyFont="1" applyBorder="1" applyAlignment="1">
      <alignment vertical="top" wrapText="1"/>
    </xf>
    <xf numFmtId="2" fontId="12" fillId="0" borderId="0" xfId="0" applyNumberFormat="1" applyFont="1" applyBorder="1" applyAlignment="1">
      <alignment vertical="top" wrapText="1"/>
    </xf>
    <xf numFmtId="0" fontId="12" fillId="0" borderId="0" xfId="0" applyFont="1" applyAlignment="1">
      <alignment vertical="top" wrapText="1"/>
    </xf>
    <xf numFmtId="2" fontId="12" fillId="0" borderId="0" xfId="0" applyNumberFormat="1" applyFont="1" applyBorder="1" applyAlignment="1">
      <alignment horizontal="right" vertical="top" wrapText="1"/>
    </xf>
    <xf numFmtId="164" fontId="12" fillId="0" borderId="3" xfId="0" applyNumberFormat="1" applyFont="1" applyBorder="1" applyAlignment="1">
      <alignment horizontal="right" vertical="top" wrapText="1"/>
    </xf>
    <xf numFmtId="0" fontId="2" fillId="0" borderId="0" xfId="0" applyFont="1" applyAlignment="1">
      <alignment horizontal="center" vertical="center" wrapText="1"/>
    </xf>
    <xf numFmtId="0" fontId="17" fillId="0" borderId="0" xfId="0" applyFont="1" applyAlignment="1">
      <alignment horizontal="right"/>
    </xf>
    <xf numFmtId="0" fontId="2"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7" xfId="0" applyFont="1" applyBorder="1" applyAlignment="1">
      <alignment vertical="center" wrapText="1"/>
    </xf>
    <xf numFmtId="165" fontId="18" fillId="0" borderId="7" xfId="1" applyNumberFormat="1" applyFont="1" applyBorder="1" applyAlignment="1">
      <alignment vertical="center" wrapText="1"/>
    </xf>
    <xf numFmtId="164" fontId="0" fillId="0" borderId="0" xfId="0" applyNumberFormat="1" applyAlignment="1">
      <alignment vertical="center" wrapText="1"/>
    </xf>
    <xf numFmtId="0" fontId="0" fillId="0" borderId="0" xfId="0" applyAlignment="1">
      <alignment vertical="center" wrapText="1"/>
    </xf>
    <xf numFmtId="0" fontId="2" fillId="0" borderId="7" xfId="0" applyFont="1" applyBorder="1" applyAlignment="1">
      <alignment vertical="center" wrapText="1"/>
    </xf>
    <xf numFmtId="165" fontId="2" fillId="0" borderId="7" xfId="0" applyNumberFormat="1" applyFont="1" applyBorder="1" applyAlignment="1">
      <alignment vertical="center" wrapText="1"/>
    </xf>
    <xf numFmtId="165" fontId="0" fillId="0" borderId="0" xfId="0" applyNumberFormat="1"/>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164" fontId="19" fillId="0" borderId="17" xfId="0" applyNumberFormat="1" applyFont="1" applyBorder="1" applyAlignment="1">
      <alignment horizontal="center" vertical="center" wrapText="1"/>
    </xf>
    <xf numFmtId="10" fontId="19" fillId="0" borderId="17" xfId="0" applyNumberFormat="1" applyFont="1" applyBorder="1" applyAlignment="1">
      <alignment horizontal="center" vertical="center" wrapText="1"/>
    </xf>
    <xf numFmtId="0" fontId="22" fillId="0" borderId="17" xfId="0" applyFont="1" applyBorder="1" applyAlignment="1">
      <alignment horizontal="center" vertical="center" wrapText="1"/>
    </xf>
    <xf numFmtId="164" fontId="22" fillId="0" borderId="17" xfId="0" applyNumberFormat="1" applyFont="1" applyBorder="1" applyAlignment="1">
      <alignment horizontal="center" vertical="center" wrapText="1"/>
    </xf>
    <xf numFmtId="164" fontId="19" fillId="0" borderId="0" xfId="0" applyNumberFormat="1" applyFont="1" applyFill="1" applyBorder="1" applyAlignment="1">
      <alignment horizontal="center" vertical="center" wrapText="1"/>
    </xf>
    <xf numFmtId="43" fontId="9" fillId="0" borderId="0" xfId="1" applyNumberFormat="1" applyFont="1" applyAlignment="1">
      <alignment horizontal="center" vertical="center" wrapText="1"/>
    </xf>
    <xf numFmtId="43" fontId="8" fillId="0" borderId="3" xfId="1" applyNumberFormat="1" applyFont="1" applyBorder="1" applyAlignment="1">
      <alignment horizontal="center" vertical="center" wrapText="1"/>
    </xf>
    <xf numFmtId="43" fontId="8" fillId="0" borderId="0" xfId="1" applyNumberFormat="1" applyFont="1" applyBorder="1" applyAlignment="1">
      <alignment horizontal="center" vertical="center" wrapText="1"/>
    </xf>
    <xf numFmtId="165" fontId="9" fillId="0" borderId="0" xfId="1" applyNumberFormat="1" applyFont="1" applyBorder="1" applyAlignment="1">
      <alignment horizontal="center" vertical="center" wrapText="1"/>
    </xf>
    <xf numFmtId="43" fontId="8" fillId="0" borderId="3" xfId="1" applyFont="1" applyBorder="1" applyAlignment="1">
      <alignment horizontal="center" vertical="center" wrapText="1"/>
    </xf>
    <xf numFmtId="0" fontId="19" fillId="0" borderId="0" xfId="0" applyFont="1" applyAlignment="1">
      <alignment vertical="center" wrapText="1"/>
    </xf>
    <xf numFmtId="0" fontId="21" fillId="0" borderId="0" xfId="0" applyFont="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164" fontId="0" fillId="0" borderId="0" xfId="0" applyNumberFormat="1" applyAlignment="1">
      <alignment horizontal="left" vertical="center" wrapText="1"/>
    </xf>
    <xf numFmtId="0" fontId="18" fillId="0" borderId="0" xfId="0" applyFont="1"/>
    <xf numFmtId="164" fontId="18" fillId="0" borderId="0" xfId="0" applyNumberFormat="1" applyFont="1" applyAlignment="1">
      <alignment vertical="center" wrapText="1"/>
    </xf>
    <xf numFmtId="0" fontId="18" fillId="0" borderId="0" xfId="0" applyFont="1" applyAlignment="1">
      <alignment vertical="center" wrapText="1"/>
    </xf>
    <xf numFmtId="0" fontId="5" fillId="0" borderId="0" xfId="0" applyFont="1" applyAlignment="1">
      <alignment vertical="top" wrapText="1"/>
    </xf>
    <xf numFmtId="165" fontId="9" fillId="0" borderId="0" xfId="2" applyNumberFormat="1" applyFont="1" applyAlignment="1">
      <alignment horizontal="center" vertical="top" wrapText="1"/>
    </xf>
    <xf numFmtId="164" fontId="8" fillId="0" borderId="3" xfId="2" applyNumberFormat="1" applyFont="1" applyBorder="1" applyAlignment="1">
      <alignment horizontal="center" vertical="top" wrapText="1"/>
    </xf>
    <xf numFmtId="2" fontId="12" fillId="0" borderId="2" xfId="0" applyNumberFormat="1" applyFont="1" applyBorder="1" applyAlignment="1">
      <alignment vertical="top" wrapText="1"/>
    </xf>
    <xf numFmtId="2" fontId="12" fillId="0" borderId="5" xfId="0" applyNumberFormat="1" applyFont="1" applyBorder="1" applyAlignment="1">
      <alignment horizontal="right" vertical="top" wrapText="1"/>
    </xf>
    <xf numFmtId="0" fontId="23" fillId="0" borderId="0" xfId="4" applyFont="1"/>
    <xf numFmtId="0" fontId="25" fillId="2" borderId="7" xfId="4" applyFont="1" applyFill="1" applyBorder="1" applyAlignment="1">
      <alignment horizontal="center" vertical="center" wrapText="1"/>
    </xf>
    <xf numFmtId="0" fontId="23" fillId="0" borderId="2" xfId="4" applyFont="1" applyBorder="1" applyAlignment="1">
      <alignment horizontal="center" vertical="center"/>
    </xf>
    <xf numFmtId="164" fontId="23" fillId="0" borderId="3" xfId="4" applyNumberFormat="1" applyFont="1" applyBorder="1" applyAlignment="1">
      <alignment horizontal="center" vertical="center"/>
    </xf>
    <xf numFmtId="0" fontId="23" fillId="0" borderId="3" xfId="4" applyFont="1" applyBorder="1" applyAlignment="1">
      <alignment horizontal="center" vertical="center"/>
    </xf>
    <xf numFmtId="0" fontId="23" fillId="2" borderId="7" xfId="4" applyFont="1" applyFill="1" applyBorder="1" applyAlignment="1">
      <alignment horizontal="center" vertical="center"/>
    </xf>
    <xf numFmtId="164" fontId="23" fillId="2" borderId="7" xfId="4" applyNumberFormat="1" applyFont="1" applyFill="1" applyBorder="1" applyAlignment="1">
      <alignment horizontal="center" vertical="center"/>
    </xf>
    <xf numFmtId="0" fontId="5" fillId="0" borderId="0" xfId="0" applyFont="1" applyAlignment="1">
      <alignment horizontal="left" vertical="top" wrapText="1"/>
    </xf>
    <xf numFmtId="164" fontId="8" fillId="0" borderId="3" xfId="1" applyNumberFormat="1" applyFont="1" applyBorder="1" applyAlignment="1">
      <alignment horizontal="right" vertical="center" wrapText="1"/>
    </xf>
    <xf numFmtId="0" fontId="20" fillId="0" borderId="0" xfId="0" applyFont="1" applyAlignment="1">
      <alignment horizontal="center" vertical="center" wrapText="1"/>
    </xf>
    <xf numFmtId="0" fontId="1" fillId="0" borderId="0" xfId="0" applyFont="1" applyAlignment="1">
      <alignment horizontal="center" vertical="top" wrapText="1"/>
    </xf>
    <xf numFmtId="0" fontId="9" fillId="0" borderId="3" xfId="7" applyFont="1" applyBorder="1" applyAlignment="1">
      <alignment horizontal="center" vertical="top" wrapText="1"/>
    </xf>
    <xf numFmtId="2" fontId="9" fillId="0" borderId="3" xfId="7" applyNumberFormat="1" applyFont="1" applyBorder="1" applyAlignment="1">
      <alignment horizontal="center" vertical="top" wrapText="1"/>
    </xf>
    <xf numFmtId="0" fontId="27" fillId="0" borderId="0" xfId="0" applyFont="1" applyAlignment="1">
      <alignment horizontal="center" vertical="top" wrapText="1"/>
    </xf>
    <xf numFmtId="0" fontId="27" fillId="0" borderId="0" xfId="0" applyFont="1" applyAlignment="1">
      <alignment vertical="top" wrapText="1"/>
    </xf>
    <xf numFmtId="0" fontId="6" fillId="0" borderId="6" xfId="0" applyFont="1" applyBorder="1" applyAlignment="1">
      <alignment horizontal="center" vertical="center" wrapText="1"/>
    </xf>
    <xf numFmtId="9" fontId="0" fillId="0" borderId="0" xfId="9" applyFont="1" applyAlignment="1">
      <alignment vertical="center" wrapText="1"/>
    </xf>
    <xf numFmtId="164" fontId="0" fillId="0" borderId="0" xfId="0" applyNumberFormat="1"/>
    <xf numFmtId="0" fontId="30" fillId="0" borderId="0" xfId="0" applyFont="1" applyBorder="1" applyAlignment="1">
      <alignment horizontal="center" vertical="center"/>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0" fontId="33" fillId="0" borderId="0" xfId="0" applyFont="1" applyFill="1" applyAlignment="1">
      <alignment horizontal="centerContinuous" vertical="top"/>
    </xf>
    <xf numFmtId="0" fontId="34" fillId="0" borderId="0" xfId="0" applyFont="1" applyFill="1" applyAlignment="1">
      <alignment horizontal="centerContinuous" vertical="top"/>
    </xf>
    <xf numFmtId="0" fontId="9" fillId="0" borderId="0" xfId="0" applyFont="1" applyFill="1" applyAlignment="1">
      <alignment vertical="top"/>
    </xf>
    <xf numFmtId="0" fontId="35" fillId="0" borderId="0" xfId="0" applyFont="1" applyFill="1" applyAlignment="1">
      <alignment horizontal="left" vertical="top" wrapText="1"/>
    </xf>
    <xf numFmtId="0" fontId="35" fillId="0" borderId="0" xfId="0" applyFont="1" applyFill="1" applyAlignment="1">
      <alignment vertical="top"/>
    </xf>
    <xf numFmtId="0" fontId="36" fillId="0" borderId="0" xfId="0" applyFont="1" applyFill="1" applyAlignment="1">
      <alignment horizontal="justify" vertical="top" wrapText="1"/>
    </xf>
    <xf numFmtId="0" fontId="35" fillId="0" borderId="15" xfId="0" applyFont="1" applyFill="1" applyBorder="1" applyAlignment="1">
      <alignment vertical="top"/>
    </xf>
    <xf numFmtId="0" fontId="35" fillId="0" borderId="17" xfId="0" applyFont="1" applyFill="1" applyBorder="1" applyAlignment="1">
      <alignment vertical="top"/>
    </xf>
    <xf numFmtId="0" fontId="34" fillId="0" borderId="20" xfId="0" applyFont="1" applyFill="1" applyBorder="1" applyAlignment="1">
      <alignment horizontal="center" vertical="top"/>
    </xf>
    <xf numFmtId="0" fontId="34" fillId="0" borderId="20" xfId="0" applyFont="1" applyFill="1" applyBorder="1" applyAlignment="1">
      <alignment vertical="top"/>
    </xf>
    <xf numFmtId="0" fontId="34" fillId="0" borderId="0" xfId="0" applyFont="1" applyFill="1" applyBorder="1" applyAlignment="1">
      <alignment horizontal="center" vertical="top"/>
    </xf>
    <xf numFmtId="0" fontId="35" fillId="0" borderId="0" xfId="7" quotePrefix="1" applyFont="1" applyFill="1" applyAlignment="1">
      <alignment horizontal="center" vertical="top" wrapText="1"/>
    </xf>
    <xf numFmtId="0" fontId="34" fillId="0" borderId="0" xfId="7" applyFont="1" applyFill="1" applyAlignment="1">
      <alignment horizontal="center" vertical="top"/>
    </xf>
    <xf numFmtId="1" fontId="34" fillId="0" borderId="0" xfId="7" applyNumberFormat="1" applyFont="1" applyFill="1" applyAlignment="1">
      <alignment vertical="top"/>
    </xf>
    <xf numFmtId="0" fontId="34" fillId="0" borderId="0" xfId="7" applyFont="1" applyFill="1" applyAlignment="1">
      <alignment vertical="top"/>
    </xf>
    <xf numFmtId="0" fontId="35" fillId="0" borderId="0" xfId="7" applyFont="1" applyFill="1" applyAlignment="1">
      <alignment horizontal="left" vertical="top" wrapText="1"/>
    </xf>
    <xf numFmtId="0" fontId="34" fillId="0" borderId="0" xfId="7" applyFont="1" applyFill="1" applyAlignment="1">
      <alignment horizontal="center"/>
    </xf>
    <xf numFmtId="2" fontId="34" fillId="0" borderId="0" xfId="7" applyNumberFormat="1" applyFont="1" applyFill="1" applyAlignment="1">
      <alignment horizontal="center"/>
    </xf>
    <xf numFmtId="0" fontId="34" fillId="0" borderId="0" xfId="7" applyFont="1" applyFill="1"/>
    <xf numFmtId="0" fontId="34" fillId="0" borderId="0" xfId="7" applyFont="1" applyFill="1" applyBorder="1" applyAlignment="1">
      <alignment horizontal="center" vertical="center"/>
    </xf>
    <xf numFmtId="1" fontId="34" fillId="0" borderId="0" xfId="7" applyNumberFormat="1" applyFont="1" applyFill="1"/>
    <xf numFmtId="0" fontId="34" fillId="0" borderId="0" xfId="7" quotePrefix="1" applyFont="1" applyFill="1" applyAlignment="1">
      <alignment horizontal="center"/>
    </xf>
    <xf numFmtId="0" fontId="34" fillId="0" borderId="0" xfId="7" applyFont="1" applyFill="1" applyAlignment="1">
      <alignment horizontal="left" vertical="top" wrapText="1"/>
    </xf>
    <xf numFmtId="1" fontId="35" fillId="0" borderId="22" xfId="7" applyNumberFormat="1" applyFont="1" applyFill="1" applyBorder="1" applyAlignment="1">
      <alignment vertical="top"/>
    </xf>
    <xf numFmtId="0" fontId="34" fillId="0" borderId="0" xfId="7" quotePrefix="1" applyFont="1" applyFill="1" applyAlignment="1">
      <alignment horizontal="center" vertical="top"/>
    </xf>
    <xf numFmtId="0" fontId="34" fillId="0" borderId="0" xfId="0" applyFont="1" applyFill="1" applyBorder="1" applyAlignment="1">
      <alignment vertical="top"/>
    </xf>
    <xf numFmtId="1" fontId="35" fillId="0" borderId="0" xfId="7" quotePrefix="1" applyNumberFormat="1" applyFont="1" applyFill="1" applyAlignment="1">
      <alignment horizontal="center" vertical="top" wrapText="1"/>
    </xf>
    <xf numFmtId="0" fontId="35" fillId="0" borderId="0" xfId="7" applyFont="1" applyFill="1" applyBorder="1" applyAlignment="1">
      <alignment horizontal="left" vertical="top" wrapText="1"/>
    </xf>
    <xf numFmtId="0" fontId="34" fillId="0" borderId="0" xfId="7" applyFont="1" applyFill="1" applyAlignment="1">
      <alignment horizontal="left" vertical="top"/>
    </xf>
    <xf numFmtId="1" fontId="34" fillId="0" borderId="0" xfId="7" applyNumberFormat="1" applyFont="1" applyFill="1" applyAlignment="1">
      <alignment horizontal="center" vertical="top" wrapText="1"/>
    </xf>
    <xf numFmtId="0" fontId="34" fillId="0" borderId="0" xfId="7" applyFont="1" applyFill="1" applyAlignment="1">
      <alignment horizontal="center" vertical="top" wrapText="1"/>
    </xf>
    <xf numFmtId="2" fontId="34" fillId="0" borderId="0" xfId="7" applyNumberFormat="1" applyFont="1" applyFill="1" applyAlignment="1">
      <alignment horizontal="center" vertical="top" wrapText="1"/>
    </xf>
    <xf numFmtId="2" fontId="34" fillId="0" borderId="0" xfId="7" applyNumberFormat="1" applyFont="1" applyFill="1" applyAlignment="1">
      <alignment horizontal="center" vertical="top"/>
    </xf>
    <xf numFmtId="2" fontId="34" fillId="0" borderId="0" xfId="7" quotePrefix="1" applyNumberFormat="1" applyFont="1" applyFill="1" applyAlignment="1">
      <alignment horizontal="center" vertical="top"/>
    </xf>
    <xf numFmtId="1" fontId="34" fillId="0" borderId="0" xfId="7" applyNumberFormat="1" applyFont="1" applyFill="1" applyBorder="1" applyAlignment="1">
      <alignment vertical="top"/>
    </xf>
    <xf numFmtId="0" fontId="9" fillId="0" borderId="0" xfId="7" applyFont="1" applyFill="1" applyAlignment="1">
      <alignment vertical="top"/>
    </xf>
    <xf numFmtId="0" fontId="34" fillId="0" borderId="0" xfId="7" applyFont="1" applyFill="1" applyBorder="1" applyAlignment="1">
      <alignment vertical="top" wrapText="1"/>
    </xf>
    <xf numFmtId="2" fontId="34" fillId="0" borderId="0" xfId="7" applyNumberFormat="1" applyFont="1" applyFill="1" applyAlignment="1">
      <alignment vertical="top"/>
    </xf>
    <xf numFmtId="0" fontId="35" fillId="0" borderId="22" xfId="7" quotePrefix="1" applyFont="1" applyFill="1" applyBorder="1" applyAlignment="1">
      <alignment vertical="top"/>
    </xf>
    <xf numFmtId="0" fontId="35" fillId="0" borderId="0" xfId="0" quotePrefix="1" applyFont="1" applyFill="1" applyAlignment="1">
      <alignment horizontal="center" vertical="top" wrapText="1"/>
    </xf>
    <xf numFmtId="0" fontId="34" fillId="0" borderId="0" xfId="0" applyFont="1" applyFill="1" applyAlignment="1">
      <alignment vertical="top"/>
    </xf>
    <xf numFmtId="0" fontId="34" fillId="0" borderId="0" xfId="0" applyFont="1" applyFill="1" applyBorder="1" applyAlignment="1">
      <alignment horizontal="left" vertical="top" wrapText="1"/>
    </xf>
    <xf numFmtId="0" fontId="34" fillId="0" borderId="0" xfId="0" applyFont="1"/>
    <xf numFmtId="0" fontId="34" fillId="0" borderId="0" xfId="0" applyFont="1" applyFill="1" applyAlignment="1">
      <alignment horizontal="center" vertical="top" wrapText="1"/>
    </xf>
    <xf numFmtId="0" fontId="34" fillId="0" borderId="0" xfId="0" applyFont="1" applyAlignment="1">
      <alignment horizontal="center"/>
    </xf>
    <xf numFmtId="2" fontId="34" fillId="0" borderId="0" xfId="0" applyNumberFormat="1" applyFont="1" applyFill="1" applyAlignment="1">
      <alignment horizontal="center" vertical="top" wrapText="1"/>
    </xf>
    <xf numFmtId="2" fontId="34" fillId="0" borderId="0" xfId="0" applyNumberFormat="1" applyFont="1" applyAlignment="1">
      <alignment horizontal="center"/>
    </xf>
    <xf numFmtId="0" fontId="34" fillId="0" borderId="0" xfId="0" applyFont="1" applyFill="1" applyAlignment="1">
      <alignment horizontal="center" vertical="top"/>
    </xf>
    <xf numFmtId="2" fontId="34" fillId="0" borderId="0" xfId="0" applyNumberFormat="1" applyFont="1" applyFill="1" applyAlignment="1">
      <alignment horizontal="center" vertical="top"/>
    </xf>
    <xf numFmtId="1" fontId="34" fillId="0" borderId="0" xfId="0" applyNumberFormat="1" applyFont="1" applyFill="1" applyBorder="1" applyAlignment="1">
      <alignment vertical="top"/>
    </xf>
    <xf numFmtId="0" fontId="34" fillId="0" borderId="0" xfId="0" quotePrefix="1" applyFont="1" applyFill="1" applyAlignment="1">
      <alignment horizontal="center"/>
    </xf>
    <xf numFmtId="0" fontId="34" fillId="0" borderId="0" xfId="0" quotePrefix="1" applyFont="1" applyFill="1" applyAlignment="1">
      <alignment horizontal="center" vertical="top"/>
    </xf>
    <xf numFmtId="1" fontId="35" fillId="0" borderId="22" xfId="0" applyNumberFormat="1" applyFont="1" applyFill="1" applyBorder="1" applyAlignment="1">
      <alignment vertical="top"/>
    </xf>
    <xf numFmtId="0" fontId="34" fillId="0" borderId="6" xfId="0" quotePrefix="1" applyFont="1" applyFill="1" applyBorder="1" applyAlignment="1">
      <alignment horizontal="center" vertical="top"/>
    </xf>
    <xf numFmtId="0" fontId="38" fillId="0" borderId="0" xfId="0" applyFont="1" applyFill="1" applyBorder="1" applyAlignment="1">
      <alignment horizontal="left" vertical="top" wrapText="1"/>
    </xf>
    <xf numFmtId="0" fontId="34" fillId="0" borderId="0" xfId="0" applyFont="1" applyFill="1"/>
    <xf numFmtId="166" fontId="34" fillId="0" borderId="0" xfId="0" applyNumberFormat="1" applyFont="1" applyFill="1" applyAlignment="1">
      <alignment horizontal="center" vertical="top" wrapText="1"/>
    </xf>
    <xf numFmtId="2" fontId="34" fillId="0" borderId="0" xfId="0" applyNumberFormat="1" applyFont="1" applyFill="1" applyAlignment="1">
      <alignment horizontal="center"/>
    </xf>
    <xf numFmtId="166" fontId="34" fillId="0" borderId="0" xfId="0" applyNumberFormat="1" applyFont="1" applyFill="1" applyAlignment="1">
      <alignment horizontal="center" vertical="top"/>
    </xf>
    <xf numFmtId="1" fontId="34" fillId="0" borderId="0" xfId="0" applyNumberFormat="1" applyFont="1" applyFill="1" applyAlignment="1">
      <alignment vertical="top"/>
    </xf>
    <xf numFmtId="0" fontId="35" fillId="0" borderId="0" xfId="0" applyFont="1" applyFill="1" applyAlignment="1">
      <alignment horizontal="center" vertical="top"/>
    </xf>
    <xf numFmtId="0" fontId="34" fillId="0" borderId="0" xfId="0" quotePrefix="1" applyFont="1" applyFill="1" applyAlignment="1">
      <alignment horizontal="left" vertical="top" wrapText="1"/>
    </xf>
    <xf numFmtId="0" fontId="34" fillId="0" borderId="22" xfId="0" quotePrefix="1" applyFont="1" applyFill="1" applyBorder="1" applyAlignment="1">
      <alignment horizontal="center" vertical="top"/>
    </xf>
    <xf numFmtId="0" fontId="38" fillId="0" borderId="0" xfId="0" applyFont="1" applyFill="1" applyAlignment="1">
      <alignment horizontal="left" vertical="top" wrapText="1"/>
    </xf>
    <xf numFmtId="0" fontId="34" fillId="0" borderId="0" xfId="0" quotePrefix="1" applyFont="1" applyFill="1" applyAlignment="1">
      <alignment horizontal="left" vertical="top"/>
    </xf>
    <xf numFmtId="0" fontId="34" fillId="0" borderId="0" xfId="0" applyFont="1" applyFill="1" applyAlignment="1">
      <alignment horizontal="left" vertical="top" wrapText="1"/>
    </xf>
    <xf numFmtId="1" fontId="34" fillId="0" borderId="22" xfId="0" applyNumberFormat="1" applyFont="1" applyFill="1" applyBorder="1" applyAlignment="1">
      <alignment horizontal="right" vertical="top"/>
    </xf>
    <xf numFmtId="0" fontId="34" fillId="0" borderId="22" xfId="0" quotePrefix="1" applyFont="1" applyFill="1" applyBorder="1" applyAlignment="1">
      <alignment horizontal="left" vertical="top"/>
    </xf>
    <xf numFmtId="0" fontId="34" fillId="0" borderId="0" xfId="0" quotePrefix="1" applyFont="1" applyFill="1" applyAlignment="1">
      <alignment horizontal="center" vertical="top" wrapText="1"/>
    </xf>
    <xf numFmtId="0" fontId="35" fillId="0" borderId="0" xfId="0" applyFont="1" applyFill="1" applyAlignment="1">
      <alignment vertical="top" wrapText="1"/>
    </xf>
    <xf numFmtId="2" fontId="34" fillId="0" borderId="0" xfId="0" quotePrefix="1" applyNumberFormat="1" applyFont="1" applyFill="1" applyAlignment="1">
      <alignment horizontal="center" vertical="top"/>
    </xf>
    <xf numFmtId="1" fontId="34" fillId="0" borderId="1" xfId="0" applyNumberFormat="1" applyFont="1" applyFill="1" applyBorder="1" applyAlignment="1">
      <alignment horizontal="center" vertical="top"/>
    </xf>
    <xf numFmtId="0" fontId="34" fillId="0" borderId="1" xfId="0" applyFont="1" applyFill="1" applyBorder="1" applyAlignment="1">
      <alignment horizontal="center" vertical="top"/>
    </xf>
    <xf numFmtId="166" fontId="34" fillId="0" borderId="1" xfId="0" applyNumberFormat="1" applyFont="1" applyFill="1" applyBorder="1" applyAlignment="1">
      <alignment horizontal="center" vertical="top"/>
    </xf>
    <xf numFmtId="2" fontId="34" fillId="0" borderId="0" xfId="0" applyNumberFormat="1" applyFont="1" applyFill="1" applyAlignment="1">
      <alignment vertical="top"/>
    </xf>
    <xf numFmtId="0" fontId="34" fillId="0" borderId="0" xfId="0" quotePrefix="1" applyFont="1" applyFill="1" applyAlignment="1">
      <alignment vertical="top"/>
    </xf>
    <xf numFmtId="2" fontId="34" fillId="0" borderId="0" xfId="0" applyNumberFormat="1" applyFont="1" applyFill="1" applyBorder="1" applyAlignment="1">
      <alignment vertical="top"/>
    </xf>
    <xf numFmtId="0" fontId="34" fillId="0" borderId="0" xfId="0" quotePrefix="1" applyFont="1" applyFill="1" applyBorder="1" applyAlignment="1">
      <alignment horizontal="left" vertical="top"/>
    </xf>
    <xf numFmtId="0" fontId="34" fillId="0" borderId="6" xfId="0" applyFont="1" applyFill="1" applyBorder="1" applyAlignment="1">
      <alignment vertical="top"/>
    </xf>
    <xf numFmtId="2" fontId="35" fillId="0" borderId="0" xfId="0" applyNumberFormat="1" applyFont="1" applyFill="1" applyBorder="1" applyAlignment="1">
      <alignment vertical="top"/>
    </xf>
    <xf numFmtId="0" fontId="35" fillId="0" borderId="0" xfId="0" quotePrefix="1" applyFont="1" applyFill="1" applyAlignment="1">
      <alignment horizontal="left" vertical="top" wrapText="1"/>
    </xf>
    <xf numFmtId="2" fontId="35" fillId="0" borderId="0" xfId="0" applyNumberFormat="1" applyFont="1" applyFill="1" applyAlignment="1">
      <alignment horizontal="center" vertical="top" wrapText="1"/>
    </xf>
    <xf numFmtId="2" fontId="35" fillId="0" borderId="0" xfId="0" applyNumberFormat="1" applyFont="1" applyFill="1" applyAlignment="1">
      <alignment horizontal="left" vertical="top"/>
    </xf>
    <xf numFmtId="1" fontId="35" fillId="0" borderId="0" xfId="0" applyNumberFormat="1" applyFont="1" applyFill="1" applyAlignment="1">
      <alignment horizontal="right" vertical="top"/>
    </xf>
    <xf numFmtId="1" fontId="34" fillId="0" borderId="6" xfId="0" applyNumberFormat="1" applyFont="1" applyFill="1" applyBorder="1" applyAlignment="1">
      <alignment vertical="top"/>
    </xf>
    <xf numFmtId="0" fontId="34" fillId="0" borderId="6" xfId="0" quotePrefix="1" applyFont="1" applyFill="1" applyBorder="1" applyAlignment="1">
      <alignment horizontal="left" vertical="top"/>
    </xf>
    <xf numFmtId="0" fontId="34" fillId="0" borderId="0" xfId="0" applyFont="1" applyFill="1" applyBorder="1" applyAlignment="1">
      <alignment vertical="top" wrapText="1"/>
    </xf>
    <xf numFmtId="166" fontId="34" fillId="0" borderId="0" xfId="0" applyNumberFormat="1" applyFont="1" applyFill="1" applyAlignment="1">
      <alignment vertical="top"/>
    </xf>
    <xf numFmtId="0" fontId="33" fillId="0" borderId="0" xfId="0" applyFont="1" applyFill="1" applyAlignment="1">
      <alignment vertical="top"/>
    </xf>
    <xf numFmtId="1" fontId="35" fillId="0" borderId="0" xfId="0" applyNumberFormat="1" applyFont="1" applyFill="1" applyBorder="1" applyAlignment="1">
      <alignment vertical="top"/>
    </xf>
    <xf numFmtId="1" fontId="34" fillId="0" borderId="0" xfId="0" applyNumberFormat="1" applyFont="1" applyFill="1" applyAlignment="1">
      <alignment horizontal="center" vertical="top"/>
    </xf>
    <xf numFmtId="0" fontId="35" fillId="0" borderId="0" xfId="0" quotePrefix="1" applyFont="1" applyFill="1" applyBorder="1" applyAlignment="1">
      <alignment horizontal="center" vertical="top" wrapText="1"/>
    </xf>
    <xf numFmtId="0" fontId="34" fillId="0" borderId="0" xfId="0" quotePrefix="1" applyFont="1" applyFill="1" applyBorder="1" applyAlignment="1">
      <alignment horizontal="center" vertical="top"/>
    </xf>
    <xf numFmtId="1" fontId="34" fillId="0" borderId="0" xfId="0" applyNumberFormat="1" applyFont="1" applyFill="1" applyAlignment="1">
      <alignment horizontal="center" vertical="top" wrapText="1"/>
    </xf>
    <xf numFmtId="1" fontId="34" fillId="0" borderId="0" xfId="0" applyNumberFormat="1" applyFont="1"/>
    <xf numFmtId="0" fontId="34" fillId="0" borderId="0" xfId="0" applyFont="1" applyBorder="1" applyAlignment="1">
      <alignment horizontal="center" vertical="center"/>
    </xf>
    <xf numFmtId="1" fontId="34" fillId="0" borderId="22" xfId="0" applyNumberFormat="1" applyFont="1" applyFill="1" applyBorder="1" applyAlignment="1">
      <alignment vertical="top"/>
    </xf>
    <xf numFmtId="0" fontId="34" fillId="0" borderId="0" xfId="0" applyFont="1" applyFill="1" applyAlignment="1">
      <alignment horizontal="left" vertical="top"/>
    </xf>
    <xf numFmtId="2" fontId="34" fillId="0" borderId="0" xfId="0" applyNumberFormat="1" applyFont="1" applyFill="1" applyAlignment="1">
      <alignment horizontal="left" vertical="top"/>
    </xf>
    <xf numFmtId="1" fontId="34" fillId="0" borderId="0" xfId="0" applyNumberFormat="1" applyFont="1" applyFill="1" applyAlignment="1">
      <alignment horizontal="right" vertical="top"/>
    </xf>
    <xf numFmtId="0" fontId="34" fillId="0" borderId="0" xfId="0" applyFont="1" applyFill="1" applyAlignment="1">
      <alignment horizontal="left"/>
    </xf>
    <xf numFmtId="0" fontId="34" fillId="0" borderId="0" xfId="0" applyFont="1" applyFill="1" applyAlignment="1">
      <alignment horizontal="right" vertical="top"/>
    </xf>
    <xf numFmtId="0" fontId="9" fillId="0" borderId="0" xfId="0" quotePrefix="1" applyFont="1" applyFill="1" applyAlignment="1">
      <alignment horizontal="center" vertical="top"/>
    </xf>
    <xf numFmtId="0" fontId="40" fillId="0" borderId="0" xfId="0" quotePrefix="1" applyFont="1" applyFill="1" applyAlignment="1">
      <alignment horizontal="center" vertical="top"/>
    </xf>
    <xf numFmtId="2" fontId="40" fillId="0" borderId="0" xfId="0" applyNumberFormat="1" applyFont="1" applyFill="1" applyAlignment="1">
      <alignment horizontal="center" vertical="top"/>
    </xf>
    <xf numFmtId="1" fontId="35" fillId="0" borderId="20" xfId="0" applyNumberFormat="1" applyFont="1" applyFill="1" applyBorder="1" applyAlignment="1">
      <alignment vertical="top"/>
    </xf>
    <xf numFmtId="0" fontId="35" fillId="0" borderId="20" xfId="0" quotePrefix="1" applyFont="1" applyFill="1" applyBorder="1" applyAlignment="1">
      <alignment horizontal="left" vertical="top"/>
    </xf>
    <xf numFmtId="164" fontId="34" fillId="0" borderId="0" xfId="0" applyNumberFormat="1" applyFont="1" applyFill="1" applyAlignment="1">
      <alignment horizontal="center" vertical="top"/>
    </xf>
    <xf numFmtId="0" fontId="35" fillId="0" borderId="0" xfId="0" quotePrefix="1" applyFont="1" applyFill="1" applyAlignment="1">
      <alignment horizontal="left" vertical="top"/>
    </xf>
    <xf numFmtId="0" fontId="38" fillId="0" borderId="0" xfId="0" applyFont="1" applyFill="1" applyBorder="1" applyAlignment="1">
      <alignment vertical="top" wrapText="1"/>
    </xf>
    <xf numFmtId="1" fontId="35" fillId="0" borderId="0" xfId="0" applyNumberFormat="1" applyFont="1" applyFill="1" applyAlignment="1">
      <alignment vertical="top"/>
    </xf>
    <xf numFmtId="0" fontId="34" fillId="0" borderId="0" xfId="0" applyFont="1" applyFill="1" applyAlignment="1">
      <alignment vertical="top" wrapText="1"/>
    </xf>
    <xf numFmtId="1" fontId="34" fillId="0" borderId="0" xfId="0" applyNumberFormat="1" applyFont="1" applyFill="1" applyBorder="1" applyAlignment="1">
      <alignment horizontal="right" vertical="top"/>
    </xf>
    <xf numFmtId="0" fontId="35" fillId="0" borderId="22" xfId="0" quotePrefix="1" applyFont="1" applyFill="1" applyBorder="1" applyAlignment="1">
      <alignment horizontal="left" vertical="top"/>
    </xf>
    <xf numFmtId="0" fontId="35" fillId="0" borderId="0" xfId="0" quotePrefix="1" applyFont="1" applyFill="1" applyBorder="1" applyAlignment="1">
      <alignment horizontal="left" vertical="top"/>
    </xf>
    <xf numFmtId="1" fontId="35" fillId="0" borderId="0" xfId="0" applyNumberFormat="1" applyFont="1" applyFill="1" applyBorder="1" applyAlignment="1">
      <alignment horizontal="right" vertical="top"/>
    </xf>
    <xf numFmtId="0" fontId="35" fillId="0" borderId="0" xfId="0" applyFont="1" applyAlignment="1">
      <alignment horizontal="left" vertical="top"/>
    </xf>
    <xf numFmtId="0" fontId="0" fillId="0" borderId="0" xfId="0" applyFill="1" applyAlignment="1">
      <alignment wrapText="1"/>
    </xf>
    <xf numFmtId="0" fontId="0" fillId="0" borderId="0" xfId="0" applyFill="1" applyAlignment="1"/>
    <xf numFmtId="0" fontId="0" fillId="0" borderId="0" xfId="0" applyFill="1" applyAlignment="1">
      <alignment horizontal="center"/>
    </xf>
    <xf numFmtId="0" fontId="0" fillId="0" borderId="0" xfId="0" applyFill="1" applyAlignment="1">
      <alignment vertical="top"/>
    </xf>
    <xf numFmtId="0" fontId="0" fillId="0" borderId="0" xfId="0" applyFill="1"/>
    <xf numFmtId="0" fontId="41" fillId="0" borderId="0" xfId="0" applyFont="1" applyFill="1" applyAlignment="1">
      <alignment horizontal="center"/>
    </xf>
    <xf numFmtId="0" fontId="27" fillId="0" borderId="0" xfId="0" applyFont="1" applyFill="1"/>
    <xf numFmtId="0" fontId="42" fillId="0" borderId="0" xfId="0" applyFont="1" applyFill="1" applyAlignment="1">
      <alignment vertical="top" wrapText="1"/>
    </xf>
    <xf numFmtId="0" fontId="42" fillId="0" borderId="0" xfId="0" applyFont="1" applyFill="1" applyAlignment="1">
      <alignment horizontal="center" vertical="center" wrapText="1"/>
    </xf>
    <xf numFmtId="0" fontId="35" fillId="0" borderId="0" xfId="0" applyFont="1" applyFill="1" applyAlignment="1">
      <alignment vertical="center" wrapText="1"/>
    </xf>
    <xf numFmtId="0" fontId="42" fillId="0" borderId="0" xfId="0" applyFont="1" applyFill="1" applyAlignment="1">
      <alignment horizontal="left" vertical="top" wrapText="1"/>
    </xf>
    <xf numFmtId="0" fontId="42" fillId="0" borderId="7" xfId="0" applyFont="1" applyFill="1" applyBorder="1" applyAlignment="1">
      <alignment vertical="center" wrapText="1"/>
    </xf>
    <xf numFmtId="0" fontId="42" fillId="0" borderId="7" xfId="0" applyFont="1" applyFill="1" applyBorder="1" applyAlignment="1">
      <alignment horizontal="center" vertical="center" wrapText="1"/>
    </xf>
    <xf numFmtId="0" fontId="34" fillId="0" borderId="3" xfId="0" quotePrefix="1" applyFont="1" applyFill="1" applyBorder="1" applyAlignment="1">
      <alignment horizontal="center" vertical="center"/>
    </xf>
    <xf numFmtId="1" fontId="34" fillId="0" borderId="3" xfId="0" applyNumberFormat="1" applyFont="1" applyFill="1" applyBorder="1" applyAlignment="1">
      <alignment horizontal="center" vertical="center"/>
    </xf>
    <xf numFmtId="2" fontId="34" fillId="0" borderId="3" xfId="0" applyNumberFormat="1" applyFont="1" applyFill="1" applyBorder="1" applyAlignment="1">
      <alignment horizontal="center" vertical="center"/>
    </xf>
    <xf numFmtId="166" fontId="34" fillId="0" borderId="3" xfId="0" applyNumberFormat="1" applyFont="1" applyFill="1" applyBorder="1" applyAlignment="1">
      <alignment horizontal="center" vertical="center"/>
    </xf>
    <xf numFmtId="1" fontId="34" fillId="0" borderId="27" xfId="0" applyNumberFormat="1" applyFont="1" applyFill="1" applyBorder="1" applyAlignment="1">
      <alignment horizontal="center" vertical="center"/>
    </xf>
    <xf numFmtId="0" fontId="34" fillId="0" borderId="3" xfId="0" applyFont="1" applyFill="1" applyBorder="1" applyAlignment="1">
      <alignment horizontal="center" vertical="center"/>
    </xf>
    <xf numFmtId="0" fontId="34" fillId="0" borderId="4" xfId="0" applyFont="1" applyFill="1" applyBorder="1" applyAlignment="1">
      <alignment horizontal="right" vertical="center"/>
    </xf>
    <xf numFmtId="0" fontId="35" fillId="0" borderId="4" xfId="0" applyFont="1" applyFill="1" applyBorder="1" applyAlignment="1">
      <alignment horizontal="right" vertical="center"/>
    </xf>
    <xf numFmtId="2" fontId="35" fillId="0" borderId="3" xfId="0" applyNumberFormat="1" applyFont="1" applyFill="1" applyBorder="1" applyAlignment="1">
      <alignment horizontal="center" vertical="center"/>
    </xf>
    <xf numFmtId="0" fontId="35" fillId="0" borderId="11" xfId="0" applyFont="1" applyFill="1" applyBorder="1" applyAlignment="1">
      <alignment horizontal="right" vertical="center"/>
    </xf>
    <xf numFmtId="2" fontId="0" fillId="0" borderId="0" xfId="0" applyNumberFormat="1" applyFill="1"/>
    <xf numFmtId="1" fontId="35" fillId="0" borderId="3" xfId="0" applyNumberFormat="1" applyFont="1" applyFill="1" applyBorder="1" applyAlignment="1">
      <alignment horizontal="center" vertical="center"/>
    </xf>
    <xf numFmtId="0" fontId="34" fillId="0" borderId="0" xfId="0" applyFont="1" applyFill="1" applyBorder="1"/>
    <xf numFmtId="0" fontId="34" fillId="0" borderId="0" xfId="0" applyFont="1" applyFill="1" applyBorder="1" applyAlignment="1">
      <alignment horizontal="center"/>
    </xf>
    <xf numFmtId="0" fontId="34" fillId="0" borderId="0" xfId="0" applyFont="1" applyFill="1" applyBorder="1" applyAlignment="1">
      <alignment horizontal="right"/>
    </xf>
    <xf numFmtId="0" fontId="0" fillId="0" borderId="0" xfId="0" applyFill="1" applyBorder="1"/>
    <xf numFmtId="0" fontId="34" fillId="0" borderId="0" xfId="0" quotePrefix="1" applyFont="1" applyFill="1" applyBorder="1"/>
    <xf numFmtId="0" fontId="34" fillId="0" borderId="0" xfId="0" quotePrefix="1" applyFont="1" applyFill="1" applyBorder="1" applyAlignment="1">
      <alignment horizontal="center"/>
    </xf>
    <xf numFmtId="0" fontId="34" fillId="0" borderId="0" xfId="0" applyFont="1" applyFill="1" applyBorder="1" applyAlignment="1">
      <alignment horizontal="left"/>
    </xf>
    <xf numFmtId="1" fontId="34" fillId="0" borderId="0" xfId="0" applyNumberFormat="1" applyFont="1" applyFill="1" applyBorder="1"/>
    <xf numFmtId="2" fontId="35" fillId="0" borderId="0" xfId="0" applyNumberFormat="1" applyFont="1" applyFill="1" applyBorder="1" applyAlignment="1"/>
    <xf numFmtId="0" fontId="12" fillId="0" borderId="0" xfId="0" applyFont="1" applyFill="1" applyBorder="1" applyAlignment="1">
      <alignment horizontal="right"/>
    </xf>
    <xf numFmtId="0" fontId="35" fillId="0" borderId="0" xfId="0" applyFont="1" applyFill="1" applyBorder="1"/>
    <xf numFmtId="2" fontId="34" fillId="0" borderId="0" xfId="0" applyNumberFormat="1" applyFont="1" applyFill="1" applyBorder="1" applyAlignment="1"/>
    <xf numFmtId="0" fontId="43" fillId="0" borderId="0" xfId="0" applyFont="1" applyFill="1" applyBorder="1" applyAlignment="1">
      <alignment horizontal="center"/>
    </xf>
    <xf numFmtId="0" fontId="27" fillId="0" borderId="0" xfId="0" applyFont="1" applyFill="1" applyBorder="1" applyAlignment="1">
      <alignment horizontal="center"/>
    </xf>
    <xf numFmtId="0" fontId="0" fillId="0" borderId="0" xfId="0" quotePrefix="1" applyFill="1" applyBorder="1" applyAlignment="1">
      <alignment horizontal="center"/>
    </xf>
    <xf numFmtId="0" fontId="27" fillId="0" borderId="0" xfId="0" applyFont="1" applyFill="1" applyBorder="1" applyAlignment="1">
      <alignment horizontal="left"/>
    </xf>
    <xf numFmtId="0" fontId="35" fillId="0" borderId="0" xfId="0" applyFont="1" applyFill="1" applyBorder="1" applyAlignment="1">
      <alignment horizontal="right"/>
    </xf>
    <xf numFmtId="1" fontId="35" fillId="0" borderId="0" xfId="0" applyNumberFormat="1" applyFont="1" applyFill="1" applyBorder="1"/>
    <xf numFmtId="0" fontId="34" fillId="0" borderId="0" xfId="0" applyFont="1" applyFill="1" applyAlignment="1">
      <alignment horizontal="right"/>
    </xf>
    <xf numFmtId="0" fontId="27" fillId="0" borderId="0" xfId="0" applyFont="1" applyFill="1" applyAlignment="1">
      <alignment vertical="top"/>
    </xf>
    <xf numFmtId="44" fontId="44" fillId="0" borderId="0" xfId="10" applyFont="1" applyFill="1" applyAlignment="1">
      <alignment horizontal="center" vertical="top"/>
    </xf>
    <xf numFmtId="0" fontId="27" fillId="0" borderId="0" xfId="0" applyFont="1" applyFill="1" applyAlignment="1">
      <alignment horizontal="centerContinuous" wrapText="1"/>
    </xf>
    <xf numFmtId="0" fontId="27" fillId="0" borderId="0" xfId="0" applyFont="1" applyFill="1" applyAlignment="1">
      <alignment horizontal="centerContinuous"/>
    </xf>
    <xf numFmtId="0" fontId="27" fillId="0" borderId="0" xfId="0" applyFont="1" applyFill="1" applyAlignment="1">
      <alignment horizontal="center"/>
    </xf>
    <xf numFmtId="0" fontId="44" fillId="0" borderId="0" xfId="0" applyFont="1" applyFill="1" applyAlignment="1">
      <alignment horizontal="center" vertical="top"/>
    </xf>
    <xf numFmtId="0" fontId="42" fillId="0" borderId="0" xfId="0" applyFont="1" applyFill="1" applyAlignment="1">
      <alignment horizontal="left" vertical="center" wrapText="1"/>
    </xf>
    <xf numFmtId="0" fontId="42" fillId="0" borderId="0" xfId="0" applyFont="1" applyFill="1" applyAlignment="1">
      <alignment vertical="top"/>
    </xf>
    <xf numFmtId="0" fontId="42" fillId="0" borderId="7" xfId="0" applyFont="1" applyFill="1" applyBorder="1" applyAlignment="1">
      <alignment horizontal="center" vertical="top"/>
    </xf>
    <xf numFmtId="0" fontId="42" fillId="0" borderId="8" xfId="0" applyFont="1" applyFill="1" applyBorder="1" applyAlignment="1">
      <alignment horizontal="center" vertical="center" wrapText="1"/>
    </xf>
    <xf numFmtId="0" fontId="42" fillId="0" borderId="7" xfId="0" applyFont="1" applyFill="1" applyBorder="1" applyAlignment="1">
      <alignment horizontal="center" vertical="center"/>
    </xf>
    <xf numFmtId="0" fontId="42" fillId="0" borderId="8" xfId="0" applyFont="1" applyFill="1" applyBorder="1" applyAlignment="1">
      <alignment horizontal="center" vertical="center"/>
    </xf>
    <xf numFmtId="0" fontId="34" fillId="0" borderId="20" xfId="0" applyFont="1" applyFill="1" applyBorder="1" applyAlignment="1">
      <alignment horizontal="center" vertical="center" wrapText="1"/>
    </xf>
    <xf numFmtId="0" fontId="34" fillId="0" borderId="20" xfId="0" applyFont="1" applyFill="1" applyBorder="1" applyAlignment="1">
      <alignment horizontal="center"/>
    </xf>
    <xf numFmtId="0" fontId="34" fillId="0" borderId="20" xfId="0" applyFont="1" applyFill="1" applyBorder="1" applyAlignment="1">
      <alignment horizontal="center" vertical="center"/>
    </xf>
    <xf numFmtId="0" fontId="35" fillId="0" borderId="3" xfId="7" quotePrefix="1" applyFont="1" applyFill="1" applyBorder="1" applyAlignment="1">
      <alignment horizontal="center" vertical="top" wrapText="1"/>
    </xf>
    <xf numFmtId="0" fontId="34" fillId="0" borderId="3" xfId="7" applyFont="1" applyFill="1" applyBorder="1" applyAlignment="1">
      <alignment vertical="top" wrapText="1"/>
    </xf>
    <xf numFmtId="1" fontId="35" fillId="0" borderId="3" xfId="7" applyNumberFormat="1" applyFont="1" applyFill="1" applyBorder="1" applyAlignment="1">
      <alignment vertical="top"/>
    </xf>
    <xf numFmtId="0" fontId="35" fillId="0" borderId="3" xfId="7" applyFont="1" applyFill="1" applyBorder="1" applyAlignment="1">
      <alignment vertical="top"/>
    </xf>
    <xf numFmtId="2" fontId="35" fillId="0" borderId="3" xfId="7" applyNumberFormat="1" applyFont="1" applyFill="1" applyBorder="1" applyAlignment="1">
      <alignment horizontal="center" vertical="top"/>
    </xf>
    <xf numFmtId="0" fontId="35" fillId="0" borderId="3" xfId="7" applyFont="1" applyFill="1" applyBorder="1" applyAlignment="1">
      <alignment horizontal="center" vertical="top"/>
    </xf>
    <xf numFmtId="1" fontId="35" fillId="0" borderId="3" xfId="7" quotePrefix="1" applyNumberFormat="1" applyFont="1" applyFill="1" applyBorder="1" applyAlignment="1">
      <alignment horizontal="center" vertical="top" wrapText="1"/>
    </xf>
    <xf numFmtId="0" fontId="35" fillId="0" borderId="3" xfId="0" quotePrefix="1" applyFont="1" applyFill="1" applyBorder="1" applyAlignment="1">
      <alignment horizontal="center" vertical="top" wrapText="1"/>
    </xf>
    <xf numFmtId="0" fontId="34" fillId="0" borderId="3" xfId="0" applyFont="1" applyFill="1" applyBorder="1" applyAlignment="1">
      <alignment vertical="top" wrapText="1"/>
    </xf>
    <xf numFmtId="1" fontId="35" fillId="0" borderId="3" xfId="0" applyNumberFormat="1" applyFont="1" applyFill="1" applyBorder="1" applyAlignment="1">
      <alignment vertical="top"/>
    </xf>
    <xf numFmtId="0" fontId="35" fillId="0" borderId="3" xfId="0" applyFont="1" applyFill="1" applyBorder="1" applyAlignment="1">
      <alignment vertical="top"/>
    </xf>
    <xf numFmtId="2" fontId="35" fillId="0" borderId="3" xfId="0" applyNumberFormat="1" applyFont="1" applyFill="1" applyBorder="1" applyAlignment="1">
      <alignment horizontal="center" vertical="top"/>
    </xf>
    <xf numFmtId="0" fontId="35" fillId="0" borderId="3" xfId="0" applyFont="1" applyFill="1" applyBorder="1" applyAlignment="1">
      <alignment horizontal="center" vertical="top"/>
    </xf>
    <xf numFmtId="0" fontId="38" fillId="0" borderId="3" xfId="0" applyFont="1" applyFill="1" applyBorder="1" applyAlignment="1">
      <alignment vertical="top" wrapText="1"/>
    </xf>
    <xf numFmtId="0" fontId="34" fillId="0" borderId="3" xfId="0" quotePrefix="1" applyFont="1" applyFill="1" applyBorder="1" applyAlignment="1">
      <alignment vertical="top" wrapText="1"/>
    </xf>
    <xf numFmtId="0" fontId="35" fillId="0" borderId="3" xfId="0" quotePrefix="1" applyFont="1" applyFill="1" applyBorder="1" applyAlignment="1">
      <alignment horizontal="center" vertical="top"/>
    </xf>
    <xf numFmtId="0" fontId="34" fillId="0" borderId="13" xfId="0" applyFont="1" applyFill="1" applyBorder="1" applyAlignment="1">
      <alignment vertical="top"/>
    </xf>
    <xf numFmtId="0" fontId="34" fillId="0" borderId="13" xfId="0" applyFont="1" applyFill="1" applyBorder="1" applyAlignment="1">
      <alignment vertical="top" wrapText="1"/>
    </xf>
    <xf numFmtId="2" fontId="35" fillId="0" borderId="13" xfId="0" applyNumberFormat="1" applyFont="1" applyFill="1" applyBorder="1" applyAlignment="1">
      <alignment horizontal="center" vertical="top"/>
    </xf>
    <xf numFmtId="0" fontId="35" fillId="0" borderId="13" xfId="0" applyFont="1" applyFill="1" applyBorder="1" applyAlignment="1">
      <alignment horizontal="left" vertical="top"/>
    </xf>
    <xf numFmtId="0" fontId="35" fillId="0" borderId="22" xfId="0" applyFont="1" applyFill="1" applyBorder="1" applyAlignment="1">
      <alignment horizontal="center" vertical="top"/>
    </xf>
    <xf numFmtId="1" fontId="35" fillId="0" borderId="22" xfId="0" applyNumberFormat="1" applyFont="1" applyFill="1" applyBorder="1" applyAlignment="1">
      <alignment horizontal="right" vertical="top"/>
    </xf>
    <xf numFmtId="0" fontId="0" fillId="0" borderId="11" xfId="0" applyFill="1" applyBorder="1" applyAlignment="1">
      <alignment vertical="top"/>
    </xf>
    <xf numFmtId="0" fontId="0" fillId="0" borderId="29" xfId="0" applyFill="1" applyBorder="1" applyAlignment="1">
      <alignment vertical="top" wrapText="1"/>
    </xf>
    <xf numFmtId="0" fontId="35" fillId="0" borderId="11" xfId="0" applyFont="1" applyFill="1" applyBorder="1" applyAlignment="1">
      <alignment horizontal="center" vertical="top"/>
    </xf>
    <xf numFmtId="0" fontId="0" fillId="0" borderId="23" xfId="0" applyFill="1" applyBorder="1" applyAlignment="1">
      <alignment vertical="top"/>
    </xf>
    <xf numFmtId="0" fontId="0" fillId="0" borderId="23" xfId="0" applyFill="1" applyBorder="1" applyAlignment="1">
      <alignment horizontal="center" vertical="top"/>
    </xf>
    <xf numFmtId="1" fontId="35" fillId="0" borderId="2" xfId="0" applyNumberFormat="1" applyFont="1" applyFill="1" applyBorder="1" applyAlignment="1">
      <alignment vertical="top"/>
    </xf>
    <xf numFmtId="1" fontId="35" fillId="0" borderId="2" xfId="0" applyNumberFormat="1" applyFont="1" applyFill="1" applyBorder="1" applyAlignment="1">
      <alignment horizontal="right" vertical="top"/>
    </xf>
    <xf numFmtId="0" fontId="0" fillId="0" borderId="4" xfId="0" applyFill="1" applyBorder="1" applyAlignment="1">
      <alignment vertical="top" wrapText="1"/>
    </xf>
    <xf numFmtId="0" fontId="42" fillId="0" borderId="11" xfId="0" applyFont="1" applyFill="1" applyBorder="1" applyAlignment="1">
      <alignment vertical="top"/>
    </xf>
    <xf numFmtId="0" fontId="35" fillId="0" borderId="4" xfId="0" applyFont="1" applyFill="1" applyBorder="1" applyAlignment="1">
      <alignment horizontal="center" vertical="top"/>
    </xf>
    <xf numFmtId="1" fontId="35" fillId="0" borderId="3" xfId="0" applyNumberFormat="1" applyFont="1" applyFill="1" applyBorder="1" applyAlignment="1">
      <alignment horizontal="right" vertical="top"/>
    </xf>
    <xf numFmtId="0" fontId="42" fillId="0" borderId="11" xfId="0" applyFont="1" applyFill="1" applyBorder="1" applyAlignment="1">
      <alignment horizontal="left" vertical="top"/>
    </xf>
    <xf numFmtId="0" fontId="0" fillId="0" borderId="23" xfId="0" applyFill="1" applyBorder="1" applyAlignment="1">
      <alignment horizontal="center"/>
    </xf>
    <xf numFmtId="0" fontId="0" fillId="0" borderId="4" xfId="0" applyFill="1" applyBorder="1" applyAlignment="1">
      <alignment horizontal="center" vertical="top"/>
    </xf>
    <xf numFmtId="0" fontId="33" fillId="0" borderId="0" xfId="7" applyFont="1" applyFill="1"/>
    <xf numFmtId="1" fontId="35" fillId="0" borderId="0" xfId="7" applyNumberFormat="1" applyFont="1" applyFill="1" applyAlignment="1">
      <alignment vertical="top"/>
    </xf>
    <xf numFmtId="1" fontId="35" fillId="0" borderId="0" xfId="7" applyNumberFormat="1" applyFont="1" applyFill="1" applyAlignment="1">
      <alignment horizontal="center" vertical="top"/>
    </xf>
    <xf numFmtId="1" fontId="8" fillId="0" borderId="22" xfId="0" applyNumberFormat="1" applyFont="1" applyFill="1" applyBorder="1" applyAlignment="1">
      <alignment vertical="top"/>
    </xf>
    <xf numFmtId="2" fontId="34" fillId="0" borderId="0" xfId="0" applyNumberFormat="1" applyFont="1" applyAlignment="1">
      <alignment horizontal="left"/>
    </xf>
    <xf numFmtId="0" fontId="35" fillId="0" borderId="22" xfId="0" quotePrefix="1" applyFont="1" applyFill="1" applyBorder="1" applyAlignment="1">
      <alignment horizontal="left" vertical="center"/>
    </xf>
    <xf numFmtId="0" fontId="0" fillId="0" borderId="0" xfId="0" applyFill="1" applyBorder="1" applyAlignment="1">
      <alignment vertical="top"/>
    </xf>
    <xf numFmtId="0" fontId="0" fillId="0" borderId="0" xfId="0" applyFill="1" applyBorder="1" applyAlignment="1">
      <alignment vertical="top" wrapText="1"/>
    </xf>
    <xf numFmtId="0" fontId="42" fillId="0" borderId="0" xfId="0" applyFont="1" applyFill="1" applyBorder="1" applyAlignment="1">
      <alignment horizontal="right" vertical="top"/>
    </xf>
    <xf numFmtId="37" fontId="41" fillId="0" borderId="0" xfId="8" applyNumberFormat="1" applyFont="1" applyAlignment="1">
      <alignment horizontal="centerContinuous"/>
    </xf>
    <xf numFmtId="37" fontId="45" fillId="0" borderId="0" xfId="8" applyNumberFormat="1" applyFont="1" applyAlignment="1">
      <alignment horizontal="centerContinuous"/>
    </xf>
    <xf numFmtId="37" fontId="46" fillId="0" borderId="0" xfId="8" applyNumberFormat="1" applyFont="1" applyAlignment="1">
      <alignment horizontal="centerContinuous"/>
    </xf>
    <xf numFmtId="37" fontId="46" fillId="0" borderId="0" xfId="8" applyNumberFormat="1" applyFont="1"/>
    <xf numFmtId="37" fontId="43" fillId="0" borderId="0" xfId="8" applyNumberFormat="1" applyFont="1"/>
    <xf numFmtId="37" fontId="36" fillId="0" borderId="0" xfId="8" applyNumberFormat="1" applyFont="1" applyAlignment="1">
      <alignment horizontal="centerContinuous"/>
    </xf>
    <xf numFmtId="37" fontId="47" fillId="0" borderId="0" xfId="8" applyNumberFormat="1" applyFont="1" applyAlignment="1">
      <alignment horizontal="centerContinuous"/>
    </xf>
    <xf numFmtId="37" fontId="43" fillId="0" borderId="0" xfId="8" applyNumberFormat="1" applyFont="1" applyAlignment="1">
      <alignment horizontal="centerContinuous"/>
    </xf>
    <xf numFmtId="37" fontId="36" fillId="0" borderId="0" xfId="8" applyNumberFormat="1" applyFont="1" applyAlignment="1"/>
    <xf numFmtId="37" fontId="48" fillId="0" borderId="0" xfId="8" applyNumberFormat="1" applyFont="1" applyAlignment="1">
      <alignment horizontal="left"/>
    </xf>
    <xf numFmtId="37" fontId="48" fillId="0" borderId="0" xfId="8" applyNumberFormat="1" applyFont="1" applyAlignment="1">
      <alignment horizontal="center"/>
    </xf>
    <xf numFmtId="37" fontId="27" fillId="0" borderId="32" xfId="8" applyNumberFormat="1" applyFont="1" applyBorder="1" applyAlignment="1">
      <alignment horizontal="center"/>
    </xf>
    <xf numFmtId="37" fontId="27" fillId="0" borderId="36" xfId="8" applyNumberFormat="1" applyFont="1" applyBorder="1" applyAlignment="1">
      <alignment horizontal="center"/>
    </xf>
    <xf numFmtId="37" fontId="42" fillId="0" borderId="0" xfId="8" applyNumberFormat="1" applyFont="1" applyAlignment="1">
      <alignment horizontal="center"/>
    </xf>
    <xf numFmtId="37" fontId="36" fillId="0" borderId="0" xfId="8" applyNumberFormat="1" applyFont="1"/>
    <xf numFmtId="37" fontId="43" fillId="0" borderId="0" xfId="8" applyNumberFormat="1" applyFont="1" applyAlignment="1">
      <alignment horizontal="center"/>
    </xf>
    <xf numFmtId="37" fontId="42" fillId="0" borderId="0" xfId="8" applyNumberFormat="1" applyFont="1"/>
    <xf numFmtId="0" fontId="27" fillId="0" borderId="0" xfId="8" applyNumberFormat="1" applyFont="1" applyAlignment="1">
      <alignment horizontal="center"/>
    </xf>
    <xf numFmtId="37" fontId="43" fillId="0" borderId="6" xfId="8" applyNumberFormat="1" applyFont="1" applyBorder="1"/>
    <xf numFmtId="167" fontId="43" fillId="0" borderId="0" xfId="8" applyNumberFormat="1" applyFont="1"/>
    <xf numFmtId="0" fontId="42" fillId="0" borderId="0" xfId="8" applyNumberFormat="1" applyFont="1" applyAlignment="1">
      <alignment horizontal="center"/>
    </xf>
    <xf numFmtId="37" fontId="42" fillId="0" borderId="0" xfId="8" applyNumberFormat="1" applyFont="1" applyBorder="1"/>
    <xf numFmtId="37" fontId="27" fillId="0" borderId="0" xfId="8" applyNumberFormat="1" applyFont="1"/>
    <xf numFmtId="37" fontId="42" fillId="0" borderId="0" xfId="8" applyNumberFormat="1" applyFont="1" applyAlignment="1">
      <alignment horizontal="right"/>
    </xf>
    <xf numFmtId="167" fontId="42" fillId="0" borderId="0" xfId="8" applyNumberFormat="1" applyFont="1" applyBorder="1" applyAlignment="1">
      <alignment horizontal="center"/>
    </xf>
    <xf numFmtId="37" fontId="43" fillId="0" borderId="0" xfId="8" applyNumberFormat="1" applyFont="1" applyBorder="1"/>
    <xf numFmtId="37" fontId="43" fillId="0" borderId="0" xfId="8" applyNumberFormat="1" applyFont="1" applyAlignment="1">
      <alignment horizontal="right"/>
    </xf>
    <xf numFmtId="167" fontId="42" fillId="0" borderId="0" xfId="8" applyNumberFormat="1" applyFont="1" applyAlignment="1">
      <alignment horizontal="center"/>
    </xf>
    <xf numFmtId="37" fontId="49" fillId="0" borderId="0" xfId="8" applyNumberFormat="1" applyFont="1" applyAlignment="1">
      <alignment horizontal="center"/>
    </xf>
    <xf numFmtId="37" fontId="27" fillId="0" borderId="0" xfId="8" applyNumberFormat="1" applyFont="1" applyAlignment="1">
      <alignment horizontal="center"/>
    </xf>
    <xf numFmtId="168" fontId="27" fillId="0" borderId="0" xfId="8" applyNumberFormat="1" applyFont="1" applyAlignment="1" applyProtection="1">
      <alignment horizontal="center"/>
    </xf>
    <xf numFmtId="0" fontId="38" fillId="0" borderId="0" xfId="0" applyFont="1" applyFill="1" applyBorder="1" applyAlignment="1">
      <alignment horizontal="left" vertical="top" wrapText="1"/>
    </xf>
    <xf numFmtId="2" fontId="35" fillId="0" borderId="0" xfId="0" applyNumberFormat="1" applyFont="1" applyFill="1" applyAlignment="1">
      <alignment horizontal="center" vertical="top" wrapText="1"/>
    </xf>
    <xf numFmtId="0" fontId="35" fillId="0" borderId="0" xfId="0" applyFont="1" applyFill="1" applyAlignment="1">
      <alignment horizontal="left" vertical="top" wrapText="1"/>
    </xf>
    <xf numFmtId="0" fontId="36" fillId="0" borderId="0" xfId="0" applyFont="1" applyFill="1" applyAlignment="1">
      <alignment horizontal="justify" vertical="top" wrapText="1"/>
    </xf>
    <xf numFmtId="1" fontId="35" fillId="0" borderId="0" xfId="0" applyNumberFormat="1" applyFont="1" applyFill="1" applyAlignment="1">
      <alignment horizontal="right" vertical="top"/>
    </xf>
    <xf numFmtId="0" fontId="34" fillId="0" borderId="0" xfId="0" applyFont="1" applyFill="1" applyAlignment="1">
      <alignment horizontal="center" vertical="top"/>
    </xf>
    <xf numFmtId="0" fontId="34" fillId="0" borderId="0" xfId="0" applyFont="1" applyFill="1" applyAlignment="1">
      <alignment horizontal="left" vertical="top" wrapText="1"/>
    </xf>
    <xf numFmtId="0" fontId="34" fillId="0" borderId="0" xfId="0" applyFont="1" applyFill="1" applyAlignment="1">
      <alignment horizontal="center" vertical="top" wrapText="1"/>
    </xf>
    <xf numFmtId="0" fontId="34" fillId="0" borderId="0" xfId="0" applyFont="1" applyFill="1" applyAlignment="1">
      <alignment horizontal="right" vertical="top"/>
    </xf>
    <xf numFmtId="0" fontId="35" fillId="0" borderId="0" xfId="0" applyFont="1" applyFill="1" applyAlignment="1">
      <alignment horizontal="center" vertical="top"/>
    </xf>
    <xf numFmtId="0" fontId="34" fillId="0" borderId="0" xfId="0" quotePrefix="1" applyFont="1" applyFill="1" applyAlignment="1">
      <alignment horizontal="left" vertical="top" wrapText="1"/>
    </xf>
    <xf numFmtId="0" fontId="34" fillId="0" borderId="0" xfId="0" applyFont="1" applyFill="1" applyAlignment="1">
      <alignment horizontal="left" vertical="top" wrapText="1"/>
    </xf>
    <xf numFmtId="0" fontId="35" fillId="0" borderId="0" xfId="0" applyFont="1" applyFill="1" applyAlignment="1">
      <alignment horizontal="left" vertical="top" wrapText="1"/>
    </xf>
    <xf numFmtId="2" fontId="35" fillId="0" borderId="0" xfId="0" applyNumberFormat="1" applyFont="1" applyFill="1" applyAlignment="1">
      <alignment horizontal="center" vertical="top" wrapText="1"/>
    </xf>
    <xf numFmtId="0" fontId="35" fillId="0" borderId="0" xfId="0" applyFont="1" applyFill="1" applyAlignment="1">
      <alignment horizontal="center" vertical="top"/>
    </xf>
    <xf numFmtId="0" fontId="34" fillId="0" borderId="0" xfId="0" applyFont="1" applyFill="1" applyAlignment="1">
      <alignment horizontal="center" vertical="top" wrapText="1"/>
    </xf>
    <xf numFmtId="0" fontId="34" fillId="0" borderId="0" xfId="0" applyFont="1" applyFill="1" applyAlignment="1">
      <alignment horizontal="center" vertical="top"/>
    </xf>
    <xf numFmtId="0" fontId="9" fillId="0" borderId="0" xfId="0" applyFont="1" applyFill="1" applyBorder="1" applyAlignment="1">
      <alignment vertical="top"/>
    </xf>
    <xf numFmtId="2" fontId="34" fillId="0" borderId="0" xfId="7" applyNumberFormat="1" applyFont="1" applyFill="1" applyBorder="1" applyAlignment="1">
      <alignment horizontal="center" vertical="top"/>
    </xf>
    <xf numFmtId="0" fontId="34" fillId="0" borderId="0" xfId="7" applyFont="1" applyFill="1" applyBorder="1" applyAlignment="1">
      <alignment horizontal="center" vertical="top"/>
    </xf>
    <xf numFmtId="1" fontId="34" fillId="0" borderId="0" xfId="0" applyNumberFormat="1" applyFont="1" applyFill="1" applyBorder="1" applyAlignment="1">
      <alignment horizontal="center" vertical="top"/>
    </xf>
    <xf numFmtId="1" fontId="34" fillId="0" borderId="0" xfId="7" applyNumberFormat="1" applyFont="1" applyFill="1" applyBorder="1" applyAlignment="1">
      <alignment horizontal="center" vertical="top"/>
    </xf>
    <xf numFmtId="2" fontId="35" fillId="0" borderId="0" xfId="7" applyNumberFormat="1" applyFont="1" applyFill="1" applyBorder="1" applyAlignment="1">
      <alignment horizontal="center" vertical="top"/>
    </xf>
    <xf numFmtId="1" fontId="35" fillId="0" borderId="0" xfId="7" applyNumberFormat="1" applyFont="1" applyFill="1" applyBorder="1" applyAlignment="1">
      <alignment vertical="top"/>
    </xf>
    <xf numFmtId="0" fontId="35" fillId="0" borderId="0" xfId="7" applyFont="1" applyFill="1" applyBorder="1" applyAlignment="1">
      <alignment horizontal="center" vertical="top"/>
    </xf>
    <xf numFmtId="1" fontId="35" fillId="0" borderId="40" xfId="7" applyNumberFormat="1" applyFont="1" applyFill="1" applyBorder="1" applyAlignment="1">
      <alignment vertical="top"/>
    </xf>
    <xf numFmtId="169" fontId="35" fillId="0" borderId="40" xfId="1" applyNumberFormat="1" applyFont="1" applyFill="1" applyBorder="1" applyAlignment="1">
      <alignment horizontal="center" vertical="top"/>
    </xf>
    <xf numFmtId="2" fontId="34" fillId="0" borderId="0" xfId="7" applyNumberFormat="1" applyFont="1" applyFill="1" applyBorder="1" applyAlignment="1">
      <alignment horizontal="center" vertical="top"/>
    </xf>
    <xf numFmtId="2" fontId="34" fillId="0" borderId="0" xfId="0" applyNumberFormat="1" applyFont="1" applyFill="1" applyBorder="1" applyAlignment="1">
      <alignment horizontal="center" vertical="top"/>
    </xf>
    <xf numFmtId="0" fontId="10" fillId="0" borderId="0" xfId="0" applyFont="1" applyFill="1" applyAlignment="1">
      <alignment vertical="top"/>
    </xf>
    <xf numFmtId="169" fontId="35" fillId="0" borderId="0" xfId="1" applyNumberFormat="1" applyFont="1" applyFill="1" applyBorder="1" applyAlignment="1">
      <alignment horizontal="center" vertical="top"/>
    </xf>
    <xf numFmtId="37" fontId="42" fillId="0" borderId="0" xfId="8" applyNumberFormat="1" applyFont="1" applyBorder="1" applyAlignment="1">
      <alignment horizontal="center"/>
    </xf>
    <xf numFmtId="0" fontId="9" fillId="0" borderId="0" xfId="0" applyFont="1" applyFill="1" applyAlignment="1">
      <alignment vertical="center"/>
    </xf>
    <xf numFmtId="1" fontId="5" fillId="0" borderId="0" xfId="0" applyNumberFormat="1" applyFont="1" applyAlignment="1">
      <alignment vertical="top" wrapText="1"/>
    </xf>
    <xf numFmtId="2" fontId="5" fillId="0" borderId="0" xfId="0" applyNumberFormat="1" applyFont="1" applyAlignment="1">
      <alignment vertical="top" wrapText="1"/>
    </xf>
    <xf numFmtId="0" fontId="5" fillId="0" borderId="0" xfId="0" applyFont="1" applyAlignment="1">
      <alignment horizontal="right" vertical="top" wrapText="1"/>
    </xf>
    <xf numFmtId="1" fontId="5" fillId="0" borderId="0" xfId="0" applyNumberFormat="1" applyFont="1" applyAlignment="1">
      <alignment horizontal="center" vertical="top" wrapText="1"/>
    </xf>
    <xf numFmtId="1" fontId="34" fillId="0" borderId="0" xfId="7" applyNumberFormat="1" applyFont="1" applyFill="1" applyBorder="1" applyAlignment="1">
      <alignment horizontal="center" vertical="top"/>
    </xf>
    <xf numFmtId="0" fontId="30" fillId="0" borderId="0" xfId="0" applyFont="1" applyBorder="1" applyAlignment="1">
      <alignment horizontal="center" vertical="center"/>
    </xf>
    <xf numFmtId="0" fontId="29" fillId="0" borderId="0" xfId="0" applyFont="1" applyBorder="1" applyAlignment="1">
      <alignment horizontal="center" vertical="top" wrapText="1"/>
    </xf>
    <xf numFmtId="0" fontId="7" fillId="0" borderId="0" xfId="2" applyFont="1" applyAlignment="1">
      <alignment horizontal="center" vertical="top" wrapText="1"/>
    </xf>
    <xf numFmtId="0" fontId="7" fillId="0" borderId="0" xfId="2" applyFont="1" applyBorder="1" applyAlignment="1">
      <alignment horizontal="center" vertical="top" wrapText="1"/>
    </xf>
    <xf numFmtId="0" fontId="7" fillId="0" borderId="0" xfId="4" applyFont="1" applyAlignment="1">
      <alignment horizontal="center" vertical="center" wrapText="1"/>
    </xf>
    <xf numFmtId="0" fontId="24" fillId="0" borderId="0" xfId="4" applyFont="1" applyAlignment="1">
      <alignment horizontal="center" vertical="center"/>
    </xf>
    <xf numFmtId="0" fontId="20" fillId="0" borderId="0" xfId="0" applyFont="1" applyAlignment="1">
      <alignment horizontal="center" vertical="center" wrapText="1"/>
    </xf>
    <xf numFmtId="0" fontId="6" fillId="0" borderId="0" xfId="0" applyFont="1" applyAlignment="1">
      <alignment horizontal="center" vertical="center" wrapText="1"/>
    </xf>
    <xf numFmtId="0" fontId="22" fillId="0" borderId="14" xfId="0" applyFont="1" applyBorder="1" applyAlignment="1">
      <alignment horizontal="center" vertical="center" wrapText="1"/>
    </xf>
    <xf numFmtId="0" fontId="22" fillId="0" borderId="16" xfId="0" applyFont="1" applyBorder="1" applyAlignment="1">
      <alignment horizontal="center" vertical="center" wrapText="1"/>
    </xf>
    <xf numFmtId="0" fontId="14" fillId="0" borderId="0" xfId="2" applyFont="1" applyAlignment="1">
      <alignment horizontal="center" vertical="top" wrapText="1"/>
    </xf>
    <xf numFmtId="0" fontId="6" fillId="0" borderId="6" xfId="0" applyFont="1" applyBorder="1" applyAlignment="1">
      <alignment horizontal="center" vertical="center" wrapText="1"/>
    </xf>
    <xf numFmtId="0" fontId="8" fillId="0" borderId="8" xfId="0" applyFont="1" applyBorder="1" applyAlignment="1">
      <alignment horizontal="center" vertical="top" wrapText="1"/>
    </xf>
    <xf numFmtId="0" fontId="8" fillId="0" borderId="9" xfId="0" applyFont="1" applyBorder="1" applyAlignment="1">
      <alignment horizontal="center" vertical="top" wrapText="1"/>
    </xf>
    <xf numFmtId="0" fontId="8" fillId="0" borderId="0" xfId="0" applyFont="1" applyAlignment="1">
      <alignment horizontal="right" vertical="top" wrapText="1"/>
    </xf>
    <xf numFmtId="0" fontId="8" fillId="0" borderId="10" xfId="0" applyFont="1" applyBorder="1" applyAlignment="1">
      <alignment horizontal="right" vertical="top" wrapText="1"/>
    </xf>
    <xf numFmtId="37" fontId="36" fillId="0" borderId="0" xfId="8" applyNumberFormat="1" applyFont="1" applyAlignment="1">
      <alignment horizontal="center" vertical="center" wrapText="1"/>
    </xf>
    <xf numFmtId="37" fontId="27" fillId="0" borderId="32" xfId="8" applyNumberFormat="1" applyFont="1" applyBorder="1" applyAlignment="1">
      <alignment horizontal="center" vertical="center"/>
    </xf>
    <xf numFmtId="37" fontId="27" fillId="0" borderId="36" xfId="8" applyNumberFormat="1" applyFont="1" applyBorder="1" applyAlignment="1">
      <alignment horizontal="center" vertical="center"/>
    </xf>
    <xf numFmtId="37" fontId="27" fillId="0" borderId="33" xfId="8" applyNumberFormat="1" applyFont="1" applyBorder="1" applyAlignment="1">
      <alignment horizontal="center" vertical="center"/>
    </xf>
    <xf numFmtId="37" fontId="27" fillId="0" borderId="37" xfId="8" applyNumberFormat="1" applyFont="1" applyBorder="1" applyAlignment="1">
      <alignment horizontal="center" vertical="center"/>
    </xf>
    <xf numFmtId="0" fontId="4" fillId="0" borderId="0" xfId="0" applyFont="1" applyAlignment="1">
      <alignment horizontal="center" vertical="top"/>
    </xf>
    <xf numFmtId="0" fontId="12" fillId="0" borderId="2" xfId="0" applyFont="1" applyBorder="1" applyAlignment="1">
      <alignment horizontal="center" vertical="top" wrapText="1"/>
    </xf>
    <xf numFmtId="0" fontId="12" fillId="0" borderId="5" xfId="0" applyFont="1" applyBorder="1" applyAlignment="1">
      <alignment horizontal="center" vertical="top" wrapText="1"/>
    </xf>
    <xf numFmtId="0" fontId="31" fillId="0" borderId="0" xfId="0" applyFont="1" applyAlignment="1">
      <alignment horizontal="center" vertical="top" wrapText="1"/>
    </xf>
    <xf numFmtId="0" fontId="28" fillId="0" borderId="0" xfId="0" applyFont="1" applyAlignment="1">
      <alignment horizontal="center" vertical="top" wrapText="1"/>
    </xf>
    <xf numFmtId="0" fontId="2" fillId="0" borderId="1" xfId="0" applyFont="1" applyBorder="1" applyAlignment="1">
      <alignment horizontal="center" vertical="top" wrapText="1"/>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37" fontId="27" fillId="0" borderId="34" xfId="8" applyNumberFormat="1" applyFont="1" applyBorder="1" applyAlignment="1">
      <alignment horizontal="center" vertical="center"/>
    </xf>
    <xf numFmtId="37" fontId="27" fillId="0" borderId="35" xfId="8" applyNumberFormat="1" applyFont="1" applyBorder="1" applyAlignment="1">
      <alignment horizontal="center" vertical="center"/>
    </xf>
    <xf numFmtId="37" fontId="27" fillId="0" borderId="38" xfId="8" applyNumberFormat="1" applyFont="1" applyBorder="1" applyAlignment="1">
      <alignment horizontal="center" vertical="center"/>
    </xf>
    <xf numFmtId="37" fontId="27" fillId="0" borderId="39" xfId="8" applyNumberFormat="1" applyFont="1" applyBorder="1" applyAlignment="1">
      <alignment horizontal="center" vertical="center"/>
    </xf>
    <xf numFmtId="37" fontId="36" fillId="0" borderId="0" xfId="8" applyNumberFormat="1" applyFont="1" applyAlignment="1">
      <alignment horizontal="left"/>
    </xf>
    <xf numFmtId="0" fontId="35" fillId="0" borderId="14" xfId="0" applyFont="1" applyFill="1" applyBorder="1" applyAlignment="1">
      <alignment horizontal="center" vertical="top"/>
    </xf>
    <xf numFmtId="0" fontId="35" fillId="0" borderId="16" xfId="0" applyFont="1" applyFill="1" applyBorder="1" applyAlignment="1">
      <alignment horizontal="center" vertical="top"/>
    </xf>
    <xf numFmtId="0" fontId="35" fillId="0" borderId="8" xfId="0" applyFont="1" applyFill="1" applyBorder="1" applyAlignment="1">
      <alignment horizontal="center" vertical="top" wrapText="1"/>
    </xf>
    <xf numFmtId="0" fontId="35" fillId="0" borderId="18" xfId="0" applyFont="1" applyFill="1" applyBorder="1" applyAlignment="1">
      <alignment horizontal="center" vertical="top" wrapText="1"/>
    </xf>
    <xf numFmtId="0" fontId="35" fillId="0" borderId="9" xfId="0" applyFont="1" applyFill="1" applyBorder="1" applyAlignment="1">
      <alignment horizontal="center" vertical="top" wrapText="1"/>
    </xf>
    <xf numFmtId="0" fontId="35" fillId="0" borderId="19" xfId="0" applyFont="1" applyFill="1" applyBorder="1" applyAlignment="1">
      <alignment horizontal="center" vertical="top"/>
    </xf>
    <xf numFmtId="0" fontId="35" fillId="0" borderId="20" xfId="0" applyFont="1" applyFill="1" applyBorder="1" applyAlignment="1">
      <alignment horizontal="center" vertical="top"/>
    </xf>
    <xf numFmtId="0" fontId="35" fillId="0" borderId="21" xfId="0" applyFont="1" applyFill="1" applyBorder="1" applyAlignment="1">
      <alignment horizontal="center" vertical="top"/>
    </xf>
    <xf numFmtId="0" fontId="35" fillId="0" borderId="6" xfId="0" applyFont="1" applyFill="1" applyBorder="1" applyAlignment="1">
      <alignment horizontal="center" vertical="top"/>
    </xf>
    <xf numFmtId="0" fontId="35" fillId="0" borderId="8" xfId="0" applyFont="1" applyFill="1" applyBorder="1" applyAlignment="1">
      <alignment horizontal="center" vertical="top"/>
    </xf>
    <xf numFmtId="0" fontId="35" fillId="0" borderId="18" xfId="0" applyFont="1" applyFill="1" applyBorder="1" applyAlignment="1">
      <alignment horizontal="center" vertical="top"/>
    </xf>
    <xf numFmtId="0" fontId="35" fillId="0" borderId="9" xfId="0" applyFont="1" applyFill="1" applyBorder="1" applyAlignment="1">
      <alignment horizontal="center" vertical="top"/>
    </xf>
    <xf numFmtId="0" fontId="34" fillId="0" borderId="0" xfId="7" applyFont="1" applyFill="1" applyAlignment="1">
      <alignment horizontal="left" vertical="top" wrapText="1"/>
    </xf>
    <xf numFmtId="0" fontId="34" fillId="0" borderId="0" xfId="7" applyFont="1" applyFill="1" applyAlignment="1">
      <alignment horizontal="left" vertical="top"/>
    </xf>
    <xf numFmtId="0" fontId="38" fillId="0" borderId="0" xfId="0" applyFont="1" applyFill="1" applyBorder="1" applyAlignment="1">
      <alignment horizontal="left" vertical="top" wrapText="1"/>
    </xf>
    <xf numFmtId="2" fontId="35" fillId="0" borderId="0" xfId="0" applyNumberFormat="1" applyFont="1" applyFill="1" applyAlignment="1">
      <alignment horizontal="center" vertical="top" wrapText="1"/>
    </xf>
    <xf numFmtId="0" fontId="35" fillId="0" borderId="0" xfId="0" applyFont="1" applyFill="1" applyAlignment="1">
      <alignment horizontal="left" vertical="top" wrapText="1"/>
    </xf>
    <xf numFmtId="2" fontId="35" fillId="0" borderId="0" xfId="0" applyNumberFormat="1" applyFont="1" applyFill="1" applyAlignment="1">
      <alignment horizontal="left" vertical="top"/>
    </xf>
    <xf numFmtId="0" fontId="34" fillId="0" borderId="0" xfId="0" applyFont="1" applyFill="1" applyBorder="1" applyAlignment="1">
      <alignment horizontal="left" vertical="top" wrapText="1"/>
    </xf>
    <xf numFmtId="0" fontId="36" fillId="0" borderId="0" xfId="0" applyFont="1" applyFill="1" applyAlignment="1">
      <alignment horizontal="justify" vertical="top" wrapText="1"/>
    </xf>
    <xf numFmtId="0" fontId="37" fillId="0" borderId="6" xfId="0" applyFont="1" applyFill="1" applyBorder="1" applyAlignment="1">
      <alignment horizontal="center" vertical="top" wrapText="1"/>
    </xf>
    <xf numFmtId="1" fontId="35" fillId="0" borderId="0" xfId="0" applyNumberFormat="1" applyFont="1" applyFill="1" applyAlignment="1">
      <alignment horizontal="right" vertical="top"/>
    </xf>
    <xf numFmtId="0" fontId="39" fillId="0" borderId="0" xfId="0" applyFont="1" applyFill="1" applyAlignment="1">
      <alignment horizontal="center" vertical="top"/>
    </xf>
    <xf numFmtId="0" fontId="34" fillId="0" borderId="0" xfId="0" applyFont="1" applyFill="1" applyAlignment="1">
      <alignment horizontal="center" vertical="top"/>
    </xf>
    <xf numFmtId="0" fontId="35" fillId="0" borderId="0" xfId="0" applyFont="1" applyFill="1" applyAlignment="1">
      <alignment horizontal="center" vertical="top" wrapText="1"/>
    </xf>
    <xf numFmtId="1" fontId="35" fillId="0" borderId="20" xfId="0" applyNumberFormat="1" applyFont="1" applyFill="1" applyBorder="1" applyAlignment="1">
      <alignment horizontal="right" vertical="top"/>
    </xf>
    <xf numFmtId="0" fontId="34" fillId="0" borderId="0" xfId="0" applyFont="1" applyFill="1" applyAlignment="1">
      <alignment horizontal="left" vertical="top" wrapText="1"/>
    </xf>
    <xf numFmtId="0" fontId="34" fillId="0" borderId="0" xfId="0" applyFont="1" applyFill="1" applyAlignment="1">
      <alignment horizontal="center" vertical="top" wrapText="1"/>
    </xf>
    <xf numFmtId="0" fontId="34" fillId="0" borderId="0" xfId="0" applyFont="1" applyFill="1" applyAlignment="1">
      <alignment horizontal="right" vertical="top"/>
    </xf>
    <xf numFmtId="1" fontId="34" fillId="0" borderId="0" xfId="0" applyNumberFormat="1" applyFont="1" applyFill="1" applyAlignment="1">
      <alignment horizontal="center" vertical="top"/>
    </xf>
    <xf numFmtId="0" fontId="35" fillId="0" borderId="0" xfId="0" applyFont="1" applyFill="1" applyAlignment="1">
      <alignment horizontal="center" vertical="top"/>
    </xf>
    <xf numFmtId="0" fontId="34" fillId="0" borderId="0" xfId="0" applyFont="1" applyFill="1" applyAlignment="1">
      <alignment horizontal="left" vertical="top"/>
    </xf>
    <xf numFmtId="0" fontId="38" fillId="3" borderId="0" xfId="0" applyFont="1" applyFill="1" applyBorder="1" applyAlignment="1">
      <alignment horizontal="left" vertical="top" wrapText="1"/>
    </xf>
    <xf numFmtId="2" fontId="35" fillId="0" borderId="0" xfId="0" applyNumberFormat="1" applyFont="1" applyFill="1" applyAlignment="1">
      <alignment vertical="top"/>
    </xf>
    <xf numFmtId="2" fontId="35" fillId="0" borderId="0" xfId="0" applyNumberFormat="1" applyFont="1" applyFill="1" applyAlignment="1">
      <alignment horizontal="center" vertical="top"/>
    </xf>
    <xf numFmtId="0" fontId="38" fillId="0" borderId="0" xfId="0" applyFont="1" applyFill="1" applyBorder="1" applyAlignment="1">
      <alignment vertical="top" wrapText="1"/>
    </xf>
    <xf numFmtId="0" fontId="34" fillId="0" borderId="0" xfId="0" quotePrefix="1" applyFont="1" applyFill="1" applyAlignment="1">
      <alignment horizontal="left" vertical="top" wrapText="1"/>
    </xf>
    <xf numFmtId="0" fontId="38" fillId="0" borderId="0" xfId="0" applyFont="1" applyFill="1" applyAlignment="1">
      <alignment horizontal="left" vertical="top" wrapText="1"/>
    </xf>
    <xf numFmtId="0" fontId="34" fillId="0" borderId="11" xfId="0" applyFont="1" applyFill="1" applyBorder="1" applyAlignment="1">
      <alignment horizontal="left" vertical="center"/>
    </xf>
    <xf numFmtId="0" fontId="34" fillId="0" borderId="23" xfId="0" applyFont="1" applyFill="1" applyBorder="1" applyAlignment="1">
      <alignment horizontal="left" vertical="center"/>
    </xf>
    <xf numFmtId="0" fontId="34" fillId="0" borderId="4" xfId="0" applyFont="1" applyFill="1" applyBorder="1" applyAlignment="1">
      <alignment horizontal="left" vertical="center"/>
    </xf>
    <xf numFmtId="0" fontId="41" fillId="0" borderId="0" xfId="0" applyFont="1" applyFill="1" applyAlignment="1">
      <alignment horizontal="center"/>
    </xf>
    <xf numFmtId="0" fontId="42" fillId="0" borderId="0" xfId="0" applyFont="1" applyFill="1" applyAlignment="1">
      <alignment horizontal="left" vertical="top" wrapText="1"/>
    </xf>
    <xf numFmtId="0" fontId="42" fillId="0" borderId="18" xfId="0" applyFont="1" applyFill="1" applyBorder="1" applyAlignment="1">
      <alignment horizontal="center" vertical="center" wrapText="1"/>
    </xf>
    <xf numFmtId="0" fontId="42" fillId="0" borderId="9" xfId="0" applyFont="1" applyFill="1" applyBorder="1" applyAlignment="1">
      <alignment horizontal="center" vertical="center" wrapText="1"/>
    </xf>
    <xf numFmtId="0" fontId="34" fillId="0" borderId="24" xfId="0" applyFont="1" applyFill="1" applyBorder="1" applyAlignment="1">
      <alignment horizontal="left" vertical="center"/>
    </xf>
    <xf numFmtId="0" fontId="34" fillId="0" borderId="25" xfId="0" applyFont="1" applyFill="1" applyBorder="1" applyAlignment="1">
      <alignment horizontal="left" vertical="center"/>
    </xf>
    <xf numFmtId="0" fontId="34" fillId="0" borderId="26" xfId="0" applyFont="1" applyFill="1" applyBorder="1" applyAlignment="1">
      <alignment horizontal="left" vertical="center"/>
    </xf>
    <xf numFmtId="0" fontId="34" fillId="0" borderId="11" xfId="0" applyFont="1" applyFill="1" applyBorder="1" applyAlignment="1">
      <alignment horizontal="center" vertical="center"/>
    </xf>
    <xf numFmtId="0" fontId="34" fillId="0" borderId="23" xfId="0" applyFont="1" applyFill="1" applyBorder="1" applyAlignment="1">
      <alignment horizontal="center" vertical="center"/>
    </xf>
    <xf numFmtId="0" fontId="35" fillId="0" borderId="11" xfId="0" applyFont="1" applyFill="1" applyBorder="1" applyAlignment="1">
      <alignment horizontal="right" vertical="center"/>
    </xf>
    <xf numFmtId="0" fontId="35" fillId="0" borderId="23" xfId="0" applyFont="1" applyFill="1" applyBorder="1" applyAlignment="1">
      <alignment horizontal="right" vertical="center"/>
    </xf>
    <xf numFmtId="0" fontId="35" fillId="0" borderId="4" xfId="0" applyFont="1" applyFill="1" applyBorder="1" applyAlignment="1">
      <alignment horizontal="right" vertical="center"/>
    </xf>
    <xf numFmtId="0" fontId="34" fillId="0" borderId="4" xfId="0" applyFont="1" applyFill="1" applyBorder="1" applyAlignment="1">
      <alignment horizontal="center" vertical="center"/>
    </xf>
    <xf numFmtId="0" fontId="34" fillId="0" borderId="28"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29"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1" xfId="0" applyFont="1" applyFill="1" applyBorder="1" applyAlignment="1">
      <alignment horizontal="center" vertical="center"/>
    </xf>
    <xf numFmtId="0" fontId="34" fillId="0" borderId="31" xfId="0" applyFont="1" applyFill="1" applyBorder="1" applyAlignment="1">
      <alignment horizontal="center" vertical="center"/>
    </xf>
    <xf numFmtId="1" fontId="35" fillId="0" borderId="23" xfId="0" applyNumberFormat="1" applyFont="1" applyFill="1" applyBorder="1" applyAlignment="1">
      <alignment horizontal="center"/>
    </xf>
    <xf numFmtId="0" fontId="34" fillId="0" borderId="0" xfId="0" applyFont="1" applyFill="1" applyBorder="1" applyAlignment="1">
      <alignment horizontal="left"/>
    </xf>
    <xf numFmtId="0" fontId="35" fillId="0" borderId="23" xfId="0" applyFont="1" applyFill="1" applyBorder="1" applyAlignment="1">
      <alignment horizontal="center" vertical="center"/>
    </xf>
    <xf numFmtId="0" fontId="35" fillId="0" borderId="11" xfId="0" applyFont="1" applyFill="1" applyBorder="1" applyAlignment="1">
      <alignment horizontal="center" vertical="center"/>
    </xf>
    <xf numFmtId="0" fontId="33" fillId="0" borderId="0" xfId="0" applyFont="1" applyFill="1" applyBorder="1" applyAlignment="1">
      <alignment horizontal="left"/>
    </xf>
    <xf numFmtId="0" fontId="37" fillId="0" borderId="6" xfId="0" applyFont="1" applyFill="1" applyBorder="1" applyAlignment="1">
      <alignment horizontal="center" vertical="center" wrapText="1"/>
    </xf>
    <xf numFmtId="0" fontId="42" fillId="0" borderId="8" xfId="0" applyFont="1" applyFill="1" applyBorder="1" applyAlignment="1">
      <alignment horizontal="center" vertical="center"/>
    </xf>
    <xf numFmtId="0" fontId="42" fillId="0" borderId="18" xfId="0" applyFont="1" applyFill="1" applyBorder="1" applyAlignment="1">
      <alignment horizontal="center" vertical="center"/>
    </xf>
    <xf numFmtId="0" fontId="42" fillId="0" borderId="9" xfId="0" applyFont="1" applyFill="1" applyBorder="1" applyAlignment="1">
      <alignment horizontal="center" vertical="center"/>
    </xf>
    <xf numFmtId="0" fontId="42" fillId="0" borderId="11" xfId="0" applyFont="1" applyFill="1" applyBorder="1" applyAlignment="1">
      <alignment horizontal="right" vertical="top"/>
    </xf>
    <xf numFmtId="0" fontId="42" fillId="0" borderId="23" xfId="0" applyFont="1" applyFill="1" applyBorder="1" applyAlignment="1">
      <alignment horizontal="right" vertical="top"/>
    </xf>
    <xf numFmtId="0" fontId="42" fillId="0" borderId="4" xfId="0" applyFont="1" applyFill="1" applyBorder="1" applyAlignment="1">
      <alignment horizontal="right" vertical="top"/>
    </xf>
    <xf numFmtId="1" fontId="34" fillId="0" borderId="0" xfId="7" applyNumberFormat="1" applyFont="1" applyFill="1" applyBorder="1" applyAlignment="1">
      <alignment horizontal="center" vertical="top"/>
    </xf>
    <xf numFmtId="2" fontId="34" fillId="0" borderId="0" xfId="7" applyNumberFormat="1" applyFont="1" applyFill="1" applyBorder="1" applyAlignment="1">
      <alignment horizontal="center" vertical="top"/>
    </xf>
    <xf numFmtId="0" fontId="50" fillId="0" borderId="0" xfId="0" applyFont="1" applyFill="1" applyAlignment="1">
      <alignment horizontal="center" vertical="top"/>
    </xf>
    <xf numFmtId="49" fontId="42" fillId="0" borderId="7" xfId="0" applyNumberFormat="1" applyFont="1" applyFill="1" applyBorder="1" applyAlignment="1">
      <alignment horizontal="center" vertical="center"/>
    </xf>
    <xf numFmtId="0" fontId="42" fillId="0" borderId="7" xfId="0" applyFont="1" applyFill="1" applyBorder="1" applyAlignment="1">
      <alignment horizontal="center" vertical="center"/>
    </xf>
    <xf numFmtId="0" fontId="42" fillId="0" borderId="7" xfId="0" applyFont="1" applyBorder="1" applyAlignment="1">
      <alignment horizontal="center" vertical="center"/>
    </xf>
    <xf numFmtId="1" fontId="35" fillId="0" borderId="41" xfId="7" applyNumberFormat="1" applyFont="1" applyFill="1" applyBorder="1" applyAlignment="1">
      <alignment vertical="top"/>
    </xf>
    <xf numFmtId="169" fontId="35" fillId="0" borderId="41" xfId="1" applyNumberFormat="1" applyFont="1" applyFill="1" applyBorder="1" applyAlignment="1">
      <alignment horizontal="center" vertical="top"/>
    </xf>
    <xf numFmtId="0" fontId="9" fillId="0" borderId="0" xfId="0" applyFont="1"/>
    <xf numFmtId="169" fontId="8" fillId="0" borderId="0" xfId="0" applyNumberFormat="1" applyFont="1"/>
  </cellXfs>
  <cellStyles count="11">
    <cellStyle name="Comma" xfId="1" builtinId="3"/>
    <cellStyle name="Comma 2" xfId="3"/>
    <cellStyle name="Comma 2 2" xfId="5"/>
    <cellStyle name="Comma 3" xfId="6"/>
    <cellStyle name="Currency" xfId="10" builtinId="4"/>
    <cellStyle name="Normal" xfId="0" builtinId="0"/>
    <cellStyle name="Normal 2" xfId="2"/>
    <cellStyle name="Normal 2 2" xfId="7"/>
    <cellStyle name="Normal 3" xfId="8"/>
    <cellStyle name="Normal 4" xfId="4"/>
    <cellStyle name="Percent"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2040828325124067"/>
          <c:y val="9.5238435920458206E-2"/>
          <c:w val="0.67755169558325146"/>
          <c:h val="0.6776581017417217"/>
        </c:manualLayout>
      </c:layout>
      <c:barChart>
        <c:barDir val="col"/>
        <c:grouping val="clustered"/>
        <c:ser>
          <c:idx val="2"/>
          <c:order val="0"/>
          <c:tx>
            <c:v>2017-2018</c:v>
          </c:tx>
          <c:val>
            <c:numLit>
              <c:formatCode>General</c:formatCode>
              <c:ptCount val="1"/>
              <c:pt idx="0">
                <c:v>3</c:v>
              </c:pt>
            </c:numLit>
          </c:val>
        </c:ser>
        <c:ser>
          <c:idx val="4"/>
          <c:order val="1"/>
          <c:tx>
            <c:v>2016-2017</c:v>
          </c:tx>
          <c:val>
            <c:numLit>
              <c:formatCode>General</c:formatCode>
              <c:ptCount val="1"/>
              <c:pt idx="0">
                <c:v>1</c:v>
              </c:pt>
            </c:numLit>
          </c:val>
        </c:ser>
        <c:ser>
          <c:idx val="0"/>
          <c:order val="2"/>
          <c:tx>
            <c:v>2017-18</c:v>
          </c:tx>
          <c:val>
            <c:numLit>
              <c:formatCode>General</c:formatCode>
              <c:ptCount val="1"/>
              <c:pt idx="0">
                <c:v>1</c:v>
              </c:pt>
            </c:numLit>
          </c:val>
        </c:ser>
        <c:ser>
          <c:idx val="1"/>
          <c:order val="3"/>
          <c:tx>
            <c:v>Total</c:v>
          </c:tx>
          <c:val>
            <c:numLit>
              <c:formatCode>General</c:formatCode>
              <c:ptCount val="1"/>
              <c:pt idx="0">
                <c:v>1</c:v>
              </c:pt>
            </c:numLit>
          </c:val>
        </c:ser>
        <c:axId val="69451136"/>
        <c:axId val="69452928"/>
      </c:barChart>
      <c:catAx>
        <c:axId val="69451136"/>
        <c:scaling>
          <c:orientation val="minMax"/>
        </c:scaling>
        <c:axPos val="b"/>
        <c:numFmt formatCode="General" sourceLinked="1"/>
        <c:tickLblPos val="nextTo"/>
        <c:spPr>
          <a:ln w="3175">
            <a:solidFill>
              <a:srgbClr val="000000"/>
            </a:solidFill>
            <a:prstDash val="solid"/>
          </a:ln>
        </c:spPr>
        <c:txPr>
          <a:bodyPr rot="0" vert="horz"/>
          <a:lstStyle/>
          <a:p>
            <a:pPr>
              <a:defRPr lang="en-US" sz="1000" b="0" i="0" u="none" strike="noStrike" baseline="0">
                <a:solidFill>
                  <a:srgbClr val="000000"/>
                </a:solidFill>
                <a:latin typeface="Arial"/>
                <a:ea typeface="Arial"/>
                <a:cs typeface="Arial"/>
              </a:defRPr>
            </a:pPr>
            <a:endParaRPr lang="en-US"/>
          </a:p>
        </c:txPr>
        <c:crossAx val="69452928"/>
        <c:crosses val="autoZero"/>
        <c:auto val="1"/>
        <c:lblAlgn val="ctr"/>
        <c:lblOffset val="100"/>
        <c:tickLblSkip val="1"/>
        <c:tickMarkSkip val="1"/>
      </c:catAx>
      <c:valAx>
        <c:axId val="69452928"/>
        <c:scaling>
          <c:orientation val="minMax"/>
        </c:scaling>
        <c:axPos val="l"/>
        <c:majorGridlines>
          <c:spPr>
            <a:ln w="3175">
              <a:solidFill>
                <a:srgbClr val="000000"/>
              </a:solidFill>
              <a:prstDash val="solid"/>
            </a:ln>
          </c:spPr>
        </c:majorGridlines>
        <c:numFmt formatCode="General" sourceLinked="1"/>
        <c:tickLblPos val="nextTo"/>
        <c:spPr>
          <a:ln w="3175">
            <a:solidFill>
              <a:srgbClr val="000000"/>
            </a:solidFill>
            <a:prstDash val="solid"/>
          </a:ln>
        </c:spPr>
        <c:txPr>
          <a:bodyPr rot="0" vert="horz"/>
          <a:lstStyle/>
          <a:p>
            <a:pPr>
              <a:defRPr lang="en-US" sz="1000" b="0" i="0" u="none" strike="noStrike" baseline="0">
                <a:solidFill>
                  <a:srgbClr val="000000"/>
                </a:solidFill>
                <a:latin typeface="Arial"/>
                <a:ea typeface="Arial"/>
                <a:cs typeface="Arial"/>
              </a:defRPr>
            </a:pPr>
            <a:endParaRPr lang="en-US"/>
          </a:p>
        </c:txPr>
        <c:crossAx val="69451136"/>
        <c:crosses val="autoZero"/>
        <c:crossBetween val="between"/>
      </c:valAx>
      <c:spPr>
        <a:solidFill>
          <a:srgbClr val="C0C0C0"/>
        </a:solidFill>
        <a:ln w="12700">
          <a:solidFill>
            <a:srgbClr val="808080"/>
          </a:solidFill>
          <a:prstDash val="solid"/>
        </a:ln>
      </c:spPr>
    </c:plotArea>
    <c:legend>
      <c:legendPos val="r"/>
      <c:legendEntry>
        <c:idx val="0"/>
        <c:delete val="1"/>
      </c:legendEntry>
      <c:layout>
        <c:manualLayout>
          <c:xMode val="edge"/>
          <c:yMode val="edge"/>
          <c:x val="0.83201332211808199"/>
          <c:y val="0.32608728102372547"/>
          <c:w val="0.14296022812300771"/>
          <c:h val="0.2181826323842235"/>
        </c:manualLayout>
      </c:layout>
      <c:spPr>
        <a:solidFill>
          <a:srgbClr val="FFFFFF"/>
        </a:solidFill>
        <a:ln w="3175">
          <a:solidFill>
            <a:srgbClr val="000000"/>
          </a:solidFill>
          <a:prstDash val="solid"/>
        </a:ln>
      </c:spPr>
      <c:txPr>
        <a:bodyPr/>
        <a:lstStyle/>
        <a:p>
          <a:pPr>
            <a:defRPr lang="en-US" sz="845"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799" r="0.75000000000000799"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213360</xdr:colOff>
      <xdr:row>11</xdr:row>
      <xdr:rowOff>167640</xdr:rowOff>
    </xdr:from>
    <xdr:to>
      <xdr:col>5</xdr:col>
      <xdr:colOff>716280</xdr:colOff>
      <xdr:row>25</xdr:row>
      <xdr:rowOff>91440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123825</xdr:colOff>
      <xdr:row>207</xdr:row>
      <xdr:rowOff>123825</xdr:rowOff>
    </xdr:from>
    <xdr:to>
      <xdr:col>8</xdr:col>
      <xdr:colOff>304800</xdr:colOff>
      <xdr:row>209</xdr:row>
      <xdr:rowOff>171450</xdr:rowOff>
    </xdr:to>
    <xdr:sp macro="" textlink="">
      <xdr:nvSpPr>
        <xdr:cNvPr id="2" name="Rectangle 4"/>
        <xdr:cNvSpPr>
          <a:spLocks noChangeArrowheads="1"/>
        </xdr:cNvSpPr>
      </xdr:nvSpPr>
      <xdr:spPr bwMode="auto">
        <a:xfrm>
          <a:off x="2133600" y="75180825"/>
          <a:ext cx="1943100" cy="4667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ASSISTANT  ENGINEER</a:t>
          </a:r>
          <a:endParaRPr lang="en-US" sz="1000" b="0" i="0" strike="noStrike">
            <a:solidFill>
              <a:srgbClr val="000000"/>
            </a:solidFill>
            <a:latin typeface="Times New Roman"/>
            <a:cs typeface="Times New Roman"/>
          </a:endParaRPr>
        </a:p>
        <a:p>
          <a:pPr algn="ctr" rtl="1">
            <a:defRPr sz="1000"/>
          </a:pPr>
          <a:r>
            <a:rPr lang="en-US" sz="1000" b="0" i="0" strike="noStrike">
              <a:solidFill>
                <a:srgbClr val="000000"/>
              </a:solidFill>
              <a:latin typeface="Times New Roman"/>
              <a:cs typeface="Times New Roman"/>
            </a:rPr>
            <a:t>EDUCATION WORKS</a:t>
          </a:r>
        </a:p>
        <a:p>
          <a:pPr algn="ctr" rtl="1">
            <a:defRPr sz="1000"/>
          </a:pPr>
          <a:r>
            <a:rPr lang="en-US" sz="1000" b="0" i="0" strike="noStrike">
              <a:solidFill>
                <a:srgbClr val="000000"/>
              </a:solidFill>
              <a:latin typeface="Times New Roman"/>
              <a:cs typeface="Times New Roman"/>
            </a:rPr>
            <a:t> (SUB-DIVISION) T.M.KHAN</a:t>
          </a:r>
        </a:p>
        <a:p>
          <a:pPr algn="ctr" rtl="1">
            <a:defRPr sz="1000"/>
          </a:pPr>
          <a:endParaRPr lang="en-US" sz="1000" b="0" i="0" strike="noStrike">
            <a:solidFill>
              <a:srgbClr val="000000"/>
            </a:solidFill>
            <a:latin typeface="Times New Roman"/>
            <a:cs typeface="Times New Roman"/>
          </a:endParaRPr>
        </a:p>
      </xdr:txBody>
    </xdr:sp>
    <xdr:clientData/>
  </xdr:twoCellAnchor>
  <xdr:twoCellAnchor>
    <xdr:from>
      <xdr:col>10</xdr:col>
      <xdr:colOff>285749</xdr:colOff>
      <xdr:row>207</xdr:row>
      <xdr:rowOff>180975</xdr:rowOff>
    </xdr:from>
    <xdr:to>
      <xdr:col>16</xdr:col>
      <xdr:colOff>76199</xdr:colOff>
      <xdr:row>210</xdr:row>
      <xdr:rowOff>123825</xdr:rowOff>
    </xdr:to>
    <xdr:sp macro="" textlink="">
      <xdr:nvSpPr>
        <xdr:cNvPr id="3" name="Rectangle 2"/>
        <xdr:cNvSpPr>
          <a:spLocks noChangeArrowheads="1"/>
        </xdr:cNvSpPr>
      </xdr:nvSpPr>
      <xdr:spPr bwMode="auto">
        <a:xfrm>
          <a:off x="4610099" y="75237975"/>
          <a:ext cx="2085975" cy="571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EXECUTIVE  ENGINEER</a:t>
          </a:r>
          <a:endParaRPr lang="en-US" sz="1000" b="0" i="0" strike="noStrike">
            <a:solidFill>
              <a:srgbClr val="000000"/>
            </a:solidFill>
            <a:latin typeface="Times New Roman"/>
            <a:cs typeface="Times New Roman"/>
          </a:endParaRPr>
        </a:p>
        <a:p>
          <a:pPr algn="ctr" rtl="1">
            <a:defRPr sz="1000"/>
          </a:pPr>
          <a:r>
            <a:rPr lang="en-US" sz="1000" b="0" i="0" strike="noStrike">
              <a:solidFill>
                <a:srgbClr val="000000"/>
              </a:solidFill>
              <a:latin typeface="Times New Roman"/>
              <a:cs typeface="Times New Roman"/>
            </a:rPr>
            <a:t>EDUCATION WORKS</a:t>
          </a:r>
        </a:p>
        <a:p>
          <a:pPr algn="ctr" rtl="1">
            <a:defRPr sz="1000"/>
          </a:pPr>
          <a:r>
            <a:rPr lang="en-US" sz="1000" b="0" i="0" strike="noStrike">
              <a:solidFill>
                <a:srgbClr val="000000"/>
              </a:solidFill>
              <a:latin typeface="Times New Roman"/>
              <a:cs typeface="Times New Roman"/>
            </a:rPr>
            <a:t> (DIVISION) T.M.KHAN</a:t>
          </a:r>
        </a:p>
        <a:p>
          <a:pPr algn="ctr" rtl="1">
            <a:defRPr sz="1000"/>
          </a:pPr>
          <a:endParaRPr lang="en-US" sz="1000" b="0" i="0" strike="noStrike">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42</xdr:row>
      <xdr:rowOff>0</xdr:rowOff>
    </xdr:from>
    <xdr:to>
      <xdr:col>4</xdr:col>
      <xdr:colOff>247650</xdr:colOff>
      <xdr:row>43</xdr:row>
      <xdr:rowOff>19050</xdr:rowOff>
    </xdr:to>
    <xdr:sp macro="" textlink="">
      <xdr:nvSpPr>
        <xdr:cNvPr id="2" name="Rectangle 3"/>
        <xdr:cNvSpPr>
          <a:spLocks noChangeArrowheads="1"/>
        </xdr:cNvSpPr>
      </xdr:nvSpPr>
      <xdr:spPr bwMode="auto">
        <a:xfrm>
          <a:off x="314325" y="9296400"/>
          <a:ext cx="1190625" cy="2190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endParaRPr lang="en-US" sz="1000" b="0" i="0" strike="noStrike">
            <a:solidFill>
              <a:srgbClr val="000000"/>
            </a:solidFill>
            <a:latin typeface="Times New Roman"/>
            <a:cs typeface="Times New Roman"/>
          </a:endParaRPr>
        </a:p>
      </xdr:txBody>
    </xdr:sp>
    <xdr:clientData/>
  </xdr:twoCellAnchor>
  <xdr:twoCellAnchor>
    <xdr:from>
      <xdr:col>11</xdr:col>
      <xdr:colOff>0</xdr:colOff>
      <xdr:row>43</xdr:row>
      <xdr:rowOff>0</xdr:rowOff>
    </xdr:from>
    <xdr:to>
      <xdr:col>13</xdr:col>
      <xdr:colOff>466724</xdr:colOff>
      <xdr:row>45</xdr:row>
      <xdr:rowOff>142875</xdr:rowOff>
    </xdr:to>
    <xdr:sp macro="" textlink="">
      <xdr:nvSpPr>
        <xdr:cNvPr id="3" name="Rectangle 4"/>
        <xdr:cNvSpPr>
          <a:spLocks noChangeArrowheads="1"/>
        </xdr:cNvSpPr>
      </xdr:nvSpPr>
      <xdr:spPr bwMode="auto">
        <a:xfrm>
          <a:off x="4457700" y="9496425"/>
          <a:ext cx="1762124" cy="5238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ASSISTANT  ENGINEER</a:t>
          </a:r>
          <a:endParaRPr lang="en-US" sz="1000" b="0" i="0" strike="noStrike">
            <a:solidFill>
              <a:srgbClr val="000000"/>
            </a:solidFill>
            <a:latin typeface="Times New Roman"/>
            <a:cs typeface="Times New Roman"/>
          </a:endParaRPr>
        </a:p>
        <a:p>
          <a:pPr algn="ctr" rtl="1">
            <a:defRPr sz="1000"/>
          </a:pPr>
          <a:r>
            <a:rPr lang="en-US" sz="1000" b="0" i="0" strike="noStrike">
              <a:solidFill>
                <a:srgbClr val="000000"/>
              </a:solidFill>
              <a:latin typeface="Times New Roman"/>
              <a:cs typeface="Times New Roman"/>
            </a:rPr>
            <a:t>EDUCATION WORKS</a:t>
          </a:r>
        </a:p>
        <a:p>
          <a:pPr algn="ctr" rtl="1">
            <a:defRPr sz="1000"/>
          </a:pPr>
          <a:r>
            <a:rPr lang="en-US" sz="1000" b="0" i="0" strike="noStrike">
              <a:solidFill>
                <a:srgbClr val="000000"/>
              </a:solidFill>
              <a:latin typeface="Times New Roman"/>
              <a:cs typeface="Times New Roman"/>
            </a:rPr>
            <a:t> (SUB-DIVISION) T.M.KHAN</a:t>
          </a:r>
        </a:p>
        <a:p>
          <a:pPr algn="ctr" rtl="1">
            <a:defRPr sz="1000"/>
          </a:pPr>
          <a:endParaRPr lang="en-US" sz="1000" b="0" i="0" strike="noStrike">
            <a:solidFill>
              <a:srgbClr val="000000"/>
            </a:solidFill>
            <a:latin typeface="Times New Roman"/>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1609725</xdr:colOff>
      <xdr:row>0</xdr:row>
      <xdr:rowOff>276224</xdr:rowOff>
    </xdr:from>
    <xdr:to>
      <xdr:col>7</xdr:col>
      <xdr:colOff>676275</xdr:colOff>
      <xdr:row>2</xdr:row>
      <xdr:rowOff>123825</xdr:rowOff>
    </xdr:to>
    <xdr:sp macro="" textlink="">
      <xdr:nvSpPr>
        <xdr:cNvPr id="2" name="Rectangle 1"/>
        <xdr:cNvSpPr/>
      </xdr:nvSpPr>
      <xdr:spPr>
        <a:xfrm>
          <a:off x="2019300" y="276224"/>
          <a:ext cx="5067300" cy="781051"/>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rtlCol="0" anchor="t"/>
        <a:lstStyle/>
        <a:p>
          <a:pPr algn="l"/>
          <a:r>
            <a:rPr lang="en-US" sz="1400" b="1"/>
            <a:t>Rehbalitation , Improvement / Renovation &amp; provision for Missing Facilities existing primary / Elementary school at GBPS. Saeed Pur Taluka B.S.Karim  District Tando Mohammad Khan.</a:t>
          </a:r>
        </a:p>
      </xdr:txBody>
    </xdr:sp>
    <xdr:clientData/>
  </xdr:twoCellAnchor>
  <xdr:twoCellAnchor>
    <xdr:from>
      <xdr:col>1</xdr:col>
      <xdr:colOff>371475</xdr:colOff>
      <xdr:row>40</xdr:row>
      <xdr:rowOff>161925</xdr:rowOff>
    </xdr:from>
    <xdr:to>
      <xdr:col>1</xdr:col>
      <xdr:colOff>3228974</xdr:colOff>
      <xdr:row>43</xdr:row>
      <xdr:rowOff>0</xdr:rowOff>
    </xdr:to>
    <xdr:sp macro="" textlink="">
      <xdr:nvSpPr>
        <xdr:cNvPr id="3" name="Rectangle 4"/>
        <xdr:cNvSpPr>
          <a:spLocks noChangeArrowheads="1"/>
        </xdr:cNvSpPr>
      </xdr:nvSpPr>
      <xdr:spPr bwMode="auto">
        <a:xfrm>
          <a:off x="781050" y="37833300"/>
          <a:ext cx="2857499" cy="4667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ASSISTANT  ENGINEER</a:t>
          </a:r>
          <a:endParaRPr lang="en-US" sz="1000" b="0" i="0" strike="noStrike">
            <a:solidFill>
              <a:srgbClr val="000000"/>
            </a:solidFill>
            <a:latin typeface="Times New Roman"/>
            <a:cs typeface="Times New Roman"/>
          </a:endParaRPr>
        </a:p>
        <a:p>
          <a:pPr algn="ctr" rtl="1">
            <a:defRPr sz="1000"/>
          </a:pPr>
          <a:r>
            <a:rPr lang="en-US" sz="1000" b="0" i="0" strike="noStrike">
              <a:solidFill>
                <a:srgbClr val="000000"/>
              </a:solidFill>
              <a:latin typeface="Times New Roman"/>
              <a:cs typeface="Times New Roman"/>
            </a:rPr>
            <a:t>EDUCATION WORKS</a:t>
          </a:r>
        </a:p>
        <a:p>
          <a:pPr algn="ctr" rtl="1">
            <a:defRPr sz="1000"/>
          </a:pPr>
          <a:r>
            <a:rPr lang="en-US" sz="1000" b="0" i="0" strike="noStrike">
              <a:solidFill>
                <a:srgbClr val="000000"/>
              </a:solidFill>
              <a:latin typeface="Times New Roman"/>
              <a:cs typeface="Times New Roman"/>
            </a:rPr>
            <a:t> (SUB-DIVISION) T.M.KHAN</a:t>
          </a:r>
        </a:p>
        <a:p>
          <a:pPr algn="ctr" rtl="1">
            <a:defRPr sz="1000"/>
          </a:pPr>
          <a:endParaRPr lang="en-US" sz="1000" b="0" i="0" strike="noStrike">
            <a:solidFill>
              <a:srgbClr val="000000"/>
            </a:solidFill>
            <a:latin typeface="Times New Roman"/>
            <a:cs typeface="Times New Roman"/>
          </a:endParaRPr>
        </a:p>
      </xdr:txBody>
    </xdr:sp>
    <xdr:clientData/>
  </xdr:twoCellAnchor>
  <xdr:twoCellAnchor>
    <xdr:from>
      <xdr:col>2</xdr:col>
      <xdr:colOff>228600</xdr:colOff>
      <xdr:row>40</xdr:row>
      <xdr:rowOff>200025</xdr:rowOff>
    </xdr:from>
    <xdr:to>
      <xdr:col>7</xdr:col>
      <xdr:colOff>276224</xdr:colOff>
      <xdr:row>43</xdr:row>
      <xdr:rowOff>38100</xdr:rowOff>
    </xdr:to>
    <xdr:sp macro="" textlink="">
      <xdr:nvSpPr>
        <xdr:cNvPr id="4" name="Rectangle 4"/>
        <xdr:cNvSpPr>
          <a:spLocks noChangeArrowheads="1"/>
        </xdr:cNvSpPr>
      </xdr:nvSpPr>
      <xdr:spPr bwMode="auto">
        <a:xfrm>
          <a:off x="3867150" y="37871400"/>
          <a:ext cx="2857499" cy="4667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EXECUTIVE  ENGINEER</a:t>
          </a:r>
          <a:endParaRPr lang="en-US" sz="1000" b="0" i="0" strike="noStrike">
            <a:solidFill>
              <a:srgbClr val="000000"/>
            </a:solidFill>
            <a:latin typeface="Times New Roman"/>
            <a:cs typeface="Times New Roman"/>
          </a:endParaRPr>
        </a:p>
        <a:p>
          <a:pPr algn="ctr" rtl="1">
            <a:defRPr sz="1000"/>
          </a:pPr>
          <a:r>
            <a:rPr lang="en-US" sz="1000" b="0" i="0" strike="noStrike">
              <a:solidFill>
                <a:srgbClr val="000000"/>
              </a:solidFill>
              <a:latin typeface="Times New Roman"/>
              <a:cs typeface="Times New Roman"/>
            </a:rPr>
            <a:t>EDUCATION WORKS</a:t>
          </a:r>
        </a:p>
        <a:p>
          <a:pPr algn="ctr" rtl="1">
            <a:defRPr sz="1000"/>
          </a:pPr>
          <a:r>
            <a:rPr lang="en-US" sz="1000" b="0" i="0" strike="noStrike">
              <a:solidFill>
                <a:srgbClr val="000000"/>
              </a:solidFill>
              <a:latin typeface="Times New Roman"/>
              <a:cs typeface="Times New Roman"/>
            </a:rPr>
            <a:t> (DIVISION) T.M.KHAN</a:t>
          </a:r>
        </a:p>
        <a:p>
          <a:pPr algn="ctr" rtl="1">
            <a:defRPr sz="1000"/>
          </a:pPr>
          <a:endParaRPr lang="en-US" sz="10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27"/>
  <sheetViews>
    <sheetView workbookViewId="0">
      <selection activeCell="A7" sqref="A7:A19"/>
    </sheetView>
  </sheetViews>
  <sheetFormatPr defaultRowHeight="12.75"/>
  <cols>
    <col min="1" max="1" width="10.140625" customWidth="1"/>
    <col min="2" max="2" width="49.7109375" customWidth="1"/>
    <col min="3" max="3" width="27.42578125" customWidth="1"/>
    <col min="4" max="4" width="11.5703125" bestFit="1" customWidth="1"/>
    <col min="255" max="255" width="10.140625" customWidth="1"/>
    <col min="256" max="256" width="41.42578125" customWidth="1"/>
    <col min="257" max="257" width="25.140625" customWidth="1"/>
    <col min="258" max="258" width="15.85546875" customWidth="1"/>
    <col min="259" max="259" width="12.5703125" bestFit="1" customWidth="1"/>
    <col min="260" max="260" width="11.5703125" bestFit="1" customWidth="1"/>
    <col min="511" max="511" width="10.140625" customWidth="1"/>
    <col min="512" max="512" width="41.42578125" customWidth="1"/>
    <col min="513" max="513" width="25.140625" customWidth="1"/>
    <col min="514" max="514" width="15.85546875" customWidth="1"/>
    <col min="515" max="515" width="12.5703125" bestFit="1" customWidth="1"/>
    <col min="516" max="516" width="11.5703125" bestFit="1" customWidth="1"/>
    <col min="767" max="767" width="10.140625" customWidth="1"/>
    <col min="768" max="768" width="41.42578125" customWidth="1"/>
    <col min="769" max="769" width="25.140625" customWidth="1"/>
    <col min="770" max="770" width="15.85546875" customWidth="1"/>
    <col min="771" max="771" width="12.5703125" bestFit="1" customWidth="1"/>
    <col min="772" max="772" width="11.5703125" bestFit="1" customWidth="1"/>
    <col min="1023" max="1023" width="10.140625" customWidth="1"/>
    <col min="1024" max="1024" width="41.42578125" customWidth="1"/>
    <col min="1025" max="1025" width="25.140625" customWidth="1"/>
    <col min="1026" max="1026" width="15.85546875" customWidth="1"/>
    <col min="1027" max="1027" width="12.5703125" bestFit="1" customWidth="1"/>
    <col min="1028" max="1028" width="11.5703125" bestFit="1" customWidth="1"/>
    <col min="1279" max="1279" width="10.140625" customWidth="1"/>
    <col min="1280" max="1280" width="41.42578125" customWidth="1"/>
    <col min="1281" max="1281" width="25.140625" customWidth="1"/>
    <col min="1282" max="1282" width="15.85546875" customWidth="1"/>
    <col min="1283" max="1283" width="12.5703125" bestFit="1" customWidth="1"/>
    <col min="1284" max="1284" width="11.5703125" bestFit="1" customWidth="1"/>
    <col min="1535" max="1535" width="10.140625" customWidth="1"/>
    <col min="1536" max="1536" width="41.42578125" customWidth="1"/>
    <col min="1537" max="1537" width="25.140625" customWidth="1"/>
    <col min="1538" max="1538" width="15.85546875" customWidth="1"/>
    <col min="1539" max="1539" width="12.5703125" bestFit="1" customWidth="1"/>
    <col min="1540" max="1540" width="11.5703125" bestFit="1" customWidth="1"/>
    <col min="1791" max="1791" width="10.140625" customWidth="1"/>
    <col min="1792" max="1792" width="41.42578125" customWidth="1"/>
    <col min="1793" max="1793" width="25.140625" customWidth="1"/>
    <col min="1794" max="1794" width="15.85546875" customWidth="1"/>
    <col min="1795" max="1795" width="12.5703125" bestFit="1" customWidth="1"/>
    <col min="1796" max="1796" width="11.5703125" bestFit="1" customWidth="1"/>
    <col min="2047" max="2047" width="10.140625" customWidth="1"/>
    <col min="2048" max="2048" width="41.42578125" customWidth="1"/>
    <col min="2049" max="2049" width="25.140625" customWidth="1"/>
    <col min="2050" max="2050" width="15.85546875" customWidth="1"/>
    <col min="2051" max="2051" width="12.5703125" bestFit="1" customWidth="1"/>
    <col min="2052" max="2052" width="11.5703125" bestFit="1" customWidth="1"/>
    <col min="2303" max="2303" width="10.140625" customWidth="1"/>
    <col min="2304" max="2304" width="41.42578125" customWidth="1"/>
    <col min="2305" max="2305" width="25.140625" customWidth="1"/>
    <col min="2306" max="2306" width="15.85546875" customWidth="1"/>
    <col min="2307" max="2307" width="12.5703125" bestFit="1" customWidth="1"/>
    <col min="2308" max="2308" width="11.5703125" bestFit="1" customWidth="1"/>
    <col min="2559" max="2559" width="10.140625" customWidth="1"/>
    <col min="2560" max="2560" width="41.42578125" customWidth="1"/>
    <col min="2561" max="2561" width="25.140625" customWidth="1"/>
    <col min="2562" max="2562" width="15.85546875" customWidth="1"/>
    <col min="2563" max="2563" width="12.5703125" bestFit="1" customWidth="1"/>
    <col min="2564" max="2564" width="11.5703125" bestFit="1" customWidth="1"/>
    <col min="2815" max="2815" width="10.140625" customWidth="1"/>
    <col min="2816" max="2816" width="41.42578125" customWidth="1"/>
    <col min="2817" max="2817" width="25.140625" customWidth="1"/>
    <col min="2818" max="2818" width="15.85546875" customWidth="1"/>
    <col min="2819" max="2819" width="12.5703125" bestFit="1" customWidth="1"/>
    <col min="2820" max="2820" width="11.5703125" bestFit="1" customWidth="1"/>
    <col min="3071" max="3071" width="10.140625" customWidth="1"/>
    <col min="3072" max="3072" width="41.42578125" customWidth="1"/>
    <col min="3073" max="3073" width="25.140625" customWidth="1"/>
    <col min="3074" max="3074" width="15.85546875" customWidth="1"/>
    <col min="3075" max="3075" width="12.5703125" bestFit="1" customWidth="1"/>
    <col min="3076" max="3076" width="11.5703125" bestFit="1" customWidth="1"/>
    <col min="3327" max="3327" width="10.140625" customWidth="1"/>
    <col min="3328" max="3328" width="41.42578125" customWidth="1"/>
    <col min="3329" max="3329" width="25.140625" customWidth="1"/>
    <col min="3330" max="3330" width="15.85546875" customWidth="1"/>
    <col min="3331" max="3331" width="12.5703125" bestFit="1" customWidth="1"/>
    <col min="3332" max="3332" width="11.5703125" bestFit="1" customWidth="1"/>
    <col min="3583" max="3583" width="10.140625" customWidth="1"/>
    <col min="3584" max="3584" width="41.42578125" customWidth="1"/>
    <col min="3585" max="3585" width="25.140625" customWidth="1"/>
    <col min="3586" max="3586" width="15.85546875" customWidth="1"/>
    <col min="3587" max="3587" width="12.5703125" bestFit="1" customWidth="1"/>
    <col min="3588" max="3588" width="11.5703125" bestFit="1" customWidth="1"/>
    <col min="3839" max="3839" width="10.140625" customWidth="1"/>
    <col min="3840" max="3840" width="41.42578125" customWidth="1"/>
    <col min="3841" max="3841" width="25.140625" customWidth="1"/>
    <col min="3842" max="3842" width="15.85546875" customWidth="1"/>
    <col min="3843" max="3843" width="12.5703125" bestFit="1" customWidth="1"/>
    <col min="3844" max="3844" width="11.5703125" bestFit="1" customWidth="1"/>
    <col min="4095" max="4095" width="10.140625" customWidth="1"/>
    <col min="4096" max="4096" width="41.42578125" customWidth="1"/>
    <col min="4097" max="4097" width="25.140625" customWidth="1"/>
    <col min="4098" max="4098" width="15.85546875" customWidth="1"/>
    <col min="4099" max="4099" width="12.5703125" bestFit="1" customWidth="1"/>
    <col min="4100" max="4100" width="11.5703125" bestFit="1" customWidth="1"/>
    <col min="4351" max="4351" width="10.140625" customWidth="1"/>
    <col min="4352" max="4352" width="41.42578125" customWidth="1"/>
    <col min="4353" max="4353" width="25.140625" customWidth="1"/>
    <col min="4354" max="4354" width="15.85546875" customWidth="1"/>
    <col min="4355" max="4355" width="12.5703125" bestFit="1" customWidth="1"/>
    <col min="4356" max="4356" width="11.5703125" bestFit="1" customWidth="1"/>
    <col min="4607" max="4607" width="10.140625" customWidth="1"/>
    <col min="4608" max="4608" width="41.42578125" customWidth="1"/>
    <col min="4609" max="4609" width="25.140625" customWidth="1"/>
    <col min="4610" max="4610" width="15.85546875" customWidth="1"/>
    <col min="4611" max="4611" width="12.5703125" bestFit="1" customWidth="1"/>
    <col min="4612" max="4612" width="11.5703125" bestFit="1" customWidth="1"/>
    <col min="4863" max="4863" width="10.140625" customWidth="1"/>
    <col min="4864" max="4864" width="41.42578125" customWidth="1"/>
    <col min="4865" max="4865" width="25.140625" customWidth="1"/>
    <col min="4866" max="4866" width="15.85546875" customWidth="1"/>
    <col min="4867" max="4867" width="12.5703125" bestFit="1" customWidth="1"/>
    <col min="4868" max="4868" width="11.5703125" bestFit="1" customWidth="1"/>
    <col min="5119" max="5119" width="10.140625" customWidth="1"/>
    <col min="5120" max="5120" width="41.42578125" customWidth="1"/>
    <col min="5121" max="5121" width="25.140625" customWidth="1"/>
    <col min="5122" max="5122" width="15.85546875" customWidth="1"/>
    <col min="5123" max="5123" width="12.5703125" bestFit="1" customWidth="1"/>
    <col min="5124" max="5124" width="11.5703125" bestFit="1" customWidth="1"/>
    <col min="5375" max="5375" width="10.140625" customWidth="1"/>
    <col min="5376" max="5376" width="41.42578125" customWidth="1"/>
    <col min="5377" max="5377" width="25.140625" customWidth="1"/>
    <col min="5378" max="5378" width="15.85546875" customWidth="1"/>
    <col min="5379" max="5379" width="12.5703125" bestFit="1" customWidth="1"/>
    <col min="5380" max="5380" width="11.5703125" bestFit="1" customWidth="1"/>
    <col min="5631" max="5631" width="10.140625" customWidth="1"/>
    <col min="5632" max="5632" width="41.42578125" customWidth="1"/>
    <col min="5633" max="5633" width="25.140625" customWidth="1"/>
    <col min="5634" max="5634" width="15.85546875" customWidth="1"/>
    <col min="5635" max="5635" width="12.5703125" bestFit="1" customWidth="1"/>
    <col min="5636" max="5636" width="11.5703125" bestFit="1" customWidth="1"/>
    <col min="5887" max="5887" width="10.140625" customWidth="1"/>
    <col min="5888" max="5888" width="41.42578125" customWidth="1"/>
    <col min="5889" max="5889" width="25.140625" customWidth="1"/>
    <col min="5890" max="5890" width="15.85546875" customWidth="1"/>
    <col min="5891" max="5891" width="12.5703125" bestFit="1" customWidth="1"/>
    <col min="5892" max="5892" width="11.5703125" bestFit="1" customWidth="1"/>
    <col min="6143" max="6143" width="10.140625" customWidth="1"/>
    <col min="6144" max="6144" width="41.42578125" customWidth="1"/>
    <col min="6145" max="6145" width="25.140625" customWidth="1"/>
    <col min="6146" max="6146" width="15.85546875" customWidth="1"/>
    <col min="6147" max="6147" width="12.5703125" bestFit="1" customWidth="1"/>
    <col min="6148" max="6148" width="11.5703125" bestFit="1" customWidth="1"/>
    <col min="6399" max="6399" width="10.140625" customWidth="1"/>
    <col min="6400" max="6400" width="41.42578125" customWidth="1"/>
    <col min="6401" max="6401" width="25.140625" customWidth="1"/>
    <col min="6402" max="6402" width="15.85546875" customWidth="1"/>
    <col min="6403" max="6403" width="12.5703125" bestFit="1" customWidth="1"/>
    <col min="6404" max="6404" width="11.5703125" bestFit="1" customWidth="1"/>
    <col min="6655" max="6655" width="10.140625" customWidth="1"/>
    <col min="6656" max="6656" width="41.42578125" customWidth="1"/>
    <col min="6657" max="6657" width="25.140625" customWidth="1"/>
    <col min="6658" max="6658" width="15.85546875" customWidth="1"/>
    <col min="6659" max="6659" width="12.5703125" bestFit="1" customWidth="1"/>
    <col min="6660" max="6660" width="11.5703125" bestFit="1" customWidth="1"/>
    <col min="6911" max="6911" width="10.140625" customWidth="1"/>
    <col min="6912" max="6912" width="41.42578125" customWidth="1"/>
    <col min="6913" max="6913" width="25.140625" customWidth="1"/>
    <col min="6914" max="6914" width="15.85546875" customWidth="1"/>
    <col min="6915" max="6915" width="12.5703125" bestFit="1" customWidth="1"/>
    <col min="6916" max="6916" width="11.5703125" bestFit="1" customWidth="1"/>
    <col min="7167" max="7167" width="10.140625" customWidth="1"/>
    <col min="7168" max="7168" width="41.42578125" customWidth="1"/>
    <col min="7169" max="7169" width="25.140625" customWidth="1"/>
    <col min="7170" max="7170" width="15.85546875" customWidth="1"/>
    <col min="7171" max="7171" width="12.5703125" bestFit="1" customWidth="1"/>
    <col min="7172" max="7172" width="11.5703125" bestFit="1" customWidth="1"/>
    <col min="7423" max="7423" width="10.140625" customWidth="1"/>
    <col min="7424" max="7424" width="41.42578125" customWidth="1"/>
    <col min="7425" max="7425" width="25.140625" customWidth="1"/>
    <col min="7426" max="7426" width="15.85546875" customWidth="1"/>
    <col min="7427" max="7427" width="12.5703125" bestFit="1" customWidth="1"/>
    <col min="7428" max="7428" width="11.5703125" bestFit="1" customWidth="1"/>
    <col min="7679" max="7679" width="10.140625" customWidth="1"/>
    <col min="7680" max="7680" width="41.42578125" customWidth="1"/>
    <col min="7681" max="7681" width="25.140625" customWidth="1"/>
    <col min="7682" max="7682" width="15.85546875" customWidth="1"/>
    <col min="7683" max="7683" width="12.5703125" bestFit="1" customWidth="1"/>
    <col min="7684" max="7684" width="11.5703125" bestFit="1" customWidth="1"/>
    <col min="7935" max="7935" width="10.140625" customWidth="1"/>
    <col min="7936" max="7936" width="41.42578125" customWidth="1"/>
    <col min="7937" max="7937" width="25.140625" customWidth="1"/>
    <col min="7938" max="7938" width="15.85546875" customWidth="1"/>
    <col min="7939" max="7939" width="12.5703125" bestFit="1" customWidth="1"/>
    <col min="7940" max="7940" width="11.5703125" bestFit="1" customWidth="1"/>
    <col min="8191" max="8191" width="10.140625" customWidth="1"/>
    <col min="8192" max="8192" width="41.42578125" customWidth="1"/>
    <col min="8193" max="8193" width="25.140625" customWidth="1"/>
    <col min="8194" max="8194" width="15.85546875" customWidth="1"/>
    <col min="8195" max="8195" width="12.5703125" bestFit="1" customWidth="1"/>
    <col min="8196" max="8196" width="11.5703125" bestFit="1" customWidth="1"/>
    <col min="8447" max="8447" width="10.140625" customWidth="1"/>
    <col min="8448" max="8448" width="41.42578125" customWidth="1"/>
    <col min="8449" max="8449" width="25.140625" customWidth="1"/>
    <col min="8450" max="8450" width="15.85546875" customWidth="1"/>
    <col min="8451" max="8451" width="12.5703125" bestFit="1" customWidth="1"/>
    <col min="8452" max="8452" width="11.5703125" bestFit="1" customWidth="1"/>
    <col min="8703" max="8703" width="10.140625" customWidth="1"/>
    <col min="8704" max="8704" width="41.42578125" customWidth="1"/>
    <col min="8705" max="8705" width="25.140625" customWidth="1"/>
    <col min="8706" max="8706" width="15.85546875" customWidth="1"/>
    <col min="8707" max="8707" width="12.5703125" bestFit="1" customWidth="1"/>
    <col min="8708" max="8708" width="11.5703125" bestFit="1" customWidth="1"/>
    <col min="8959" max="8959" width="10.140625" customWidth="1"/>
    <col min="8960" max="8960" width="41.42578125" customWidth="1"/>
    <col min="8961" max="8961" width="25.140625" customWidth="1"/>
    <col min="8962" max="8962" width="15.85546875" customWidth="1"/>
    <col min="8963" max="8963" width="12.5703125" bestFit="1" customWidth="1"/>
    <col min="8964" max="8964" width="11.5703125" bestFit="1" customWidth="1"/>
    <col min="9215" max="9215" width="10.140625" customWidth="1"/>
    <col min="9216" max="9216" width="41.42578125" customWidth="1"/>
    <col min="9217" max="9217" width="25.140625" customWidth="1"/>
    <col min="9218" max="9218" width="15.85546875" customWidth="1"/>
    <col min="9219" max="9219" width="12.5703125" bestFit="1" customWidth="1"/>
    <col min="9220" max="9220" width="11.5703125" bestFit="1" customWidth="1"/>
    <col min="9471" max="9471" width="10.140625" customWidth="1"/>
    <col min="9472" max="9472" width="41.42578125" customWidth="1"/>
    <col min="9473" max="9473" width="25.140625" customWidth="1"/>
    <col min="9474" max="9474" width="15.85546875" customWidth="1"/>
    <col min="9475" max="9475" width="12.5703125" bestFit="1" customWidth="1"/>
    <col min="9476" max="9476" width="11.5703125" bestFit="1" customWidth="1"/>
    <col min="9727" max="9727" width="10.140625" customWidth="1"/>
    <col min="9728" max="9728" width="41.42578125" customWidth="1"/>
    <col min="9729" max="9729" width="25.140625" customWidth="1"/>
    <col min="9730" max="9730" width="15.85546875" customWidth="1"/>
    <col min="9731" max="9731" width="12.5703125" bestFit="1" customWidth="1"/>
    <col min="9732" max="9732" width="11.5703125" bestFit="1" customWidth="1"/>
    <col min="9983" max="9983" width="10.140625" customWidth="1"/>
    <col min="9984" max="9984" width="41.42578125" customWidth="1"/>
    <col min="9985" max="9985" width="25.140625" customWidth="1"/>
    <col min="9986" max="9986" width="15.85546875" customWidth="1"/>
    <col min="9987" max="9987" width="12.5703125" bestFit="1" customWidth="1"/>
    <col min="9988" max="9988" width="11.5703125" bestFit="1" customWidth="1"/>
    <col min="10239" max="10239" width="10.140625" customWidth="1"/>
    <col min="10240" max="10240" width="41.42578125" customWidth="1"/>
    <col min="10241" max="10241" width="25.140625" customWidth="1"/>
    <col min="10242" max="10242" width="15.85546875" customWidth="1"/>
    <col min="10243" max="10243" width="12.5703125" bestFit="1" customWidth="1"/>
    <col min="10244" max="10244" width="11.5703125" bestFit="1" customWidth="1"/>
    <col min="10495" max="10495" width="10.140625" customWidth="1"/>
    <col min="10496" max="10496" width="41.42578125" customWidth="1"/>
    <col min="10497" max="10497" width="25.140625" customWidth="1"/>
    <col min="10498" max="10498" width="15.85546875" customWidth="1"/>
    <col min="10499" max="10499" width="12.5703125" bestFit="1" customWidth="1"/>
    <col min="10500" max="10500" width="11.5703125" bestFit="1" customWidth="1"/>
    <col min="10751" max="10751" width="10.140625" customWidth="1"/>
    <col min="10752" max="10752" width="41.42578125" customWidth="1"/>
    <col min="10753" max="10753" width="25.140625" customWidth="1"/>
    <col min="10754" max="10754" width="15.85546875" customWidth="1"/>
    <col min="10755" max="10755" width="12.5703125" bestFit="1" customWidth="1"/>
    <col min="10756" max="10756" width="11.5703125" bestFit="1" customWidth="1"/>
    <col min="11007" max="11007" width="10.140625" customWidth="1"/>
    <col min="11008" max="11008" width="41.42578125" customWidth="1"/>
    <col min="11009" max="11009" width="25.140625" customWidth="1"/>
    <col min="11010" max="11010" width="15.85546875" customWidth="1"/>
    <col min="11011" max="11011" width="12.5703125" bestFit="1" customWidth="1"/>
    <col min="11012" max="11012" width="11.5703125" bestFit="1" customWidth="1"/>
    <col min="11263" max="11263" width="10.140625" customWidth="1"/>
    <col min="11264" max="11264" width="41.42578125" customWidth="1"/>
    <col min="11265" max="11265" width="25.140625" customWidth="1"/>
    <col min="11266" max="11266" width="15.85546875" customWidth="1"/>
    <col min="11267" max="11267" width="12.5703125" bestFit="1" customWidth="1"/>
    <col min="11268" max="11268" width="11.5703125" bestFit="1" customWidth="1"/>
    <col min="11519" max="11519" width="10.140625" customWidth="1"/>
    <col min="11520" max="11520" width="41.42578125" customWidth="1"/>
    <col min="11521" max="11521" width="25.140625" customWidth="1"/>
    <col min="11522" max="11522" width="15.85546875" customWidth="1"/>
    <col min="11523" max="11523" width="12.5703125" bestFit="1" customWidth="1"/>
    <col min="11524" max="11524" width="11.5703125" bestFit="1" customWidth="1"/>
    <col min="11775" max="11775" width="10.140625" customWidth="1"/>
    <col min="11776" max="11776" width="41.42578125" customWidth="1"/>
    <col min="11777" max="11777" width="25.140625" customWidth="1"/>
    <col min="11778" max="11778" width="15.85546875" customWidth="1"/>
    <col min="11779" max="11779" width="12.5703125" bestFit="1" customWidth="1"/>
    <col min="11780" max="11780" width="11.5703125" bestFit="1" customWidth="1"/>
    <col min="12031" max="12031" width="10.140625" customWidth="1"/>
    <col min="12032" max="12032" width="41.42578125" customWidth="1"/>
    <col min="12033" max="12033" width="25.140625" customWidth="1"/>
    <col min="12034" max="12034" width="15.85546875" customWidth="1"/>
    <col min="12035" max="12035" width="12.5703125" bestFit="1" customWidth="1"/>
    <col min="12036" max="12036" width="11.5703125" bestFit="1" customWidth="1"/>
    <col min="12287" max="12287" width="10.140625" customWidth="1"/>
    <col min="12288" max="12288" width="41.42578125" customWidth="1"/>
    <col min="12289" max="12289" width="25.140625" customWidth="1"/>
    <col min="12290" max="12290" width="15.85546875" customWidth="1"/>
    <col min="12291" max="12291" width="12.5703125" bestFit="1" customWidth="1"/>
    <col min="12292" max="12292" width="11.5703125" bestFit="1" customWidth="1"/>
    <col min="12543" max="12543" width="10.140625" customWidth="1"/>
    <col min="12544" max="12544" width="41.42578125" customWidth="1"/>
    <col min="12545" max="12545" width="25.140625" customWidth="1"/>
    <col min="12546" max="12546" width="15.85546875" customWidth="1"/>
    <col min="12547" max="12547" width="12.5703125" bestFit="1" customWidth="1"/>
    <col min="12548" max="12548" width="11.5703125" bestFit="1" customWidth="1"/>
    <col min="12799" max="12799" width="10.140625" customWidth="1"/>
    <col min="12800" max="12800" width="41.42578125" customWidth="1"/>
    <col min="12801" max="12801" width="25.140625" customWidth="1"/>
    <col min="12802" max="12802" width="15.85546875" customWidth="1"/>
    <col min="12803" max="12803" width="12.5703125" bestFit="1" customWidth="1"/>
    <col min="12804" max="12804" width="11.5703125" bestFit="1" customWidth="1"/>
    <col min="13055" max="13055" width="10.140625" customWidth="1"/>
    <col min="13056" max="13056" width="41.42578125" customWidth="1"/>
    <col min="13057" max="13057" width="25.140625" customWidth="1"/>
    <col min="13058" max="13058" width="15.85546875" customWidth="1"/>
    <col min="13059" max="13059" width="12.5703125" bestFit="1" customWidth="1"/>
    <col min="13060" max="13060" width="11.5703125" bestFit="1" customWidth="1"/>
    <col min="13311" max="13311" width="10.140625" customWidth="1"/>
    <col min="13312" max="13312" width="41.42578125" customWidth="1"/>
    <col min="13313" max="13313" width="25.140625" customWidth="1"/>
    <col min="13314" max="13314" width="15.85546875" customWidth="1"/>
    <col min="13315" max="13315" width="12.5703125" bestFit="1" customWidth="1"/>
    <col min="13316" max="13316" width="11.5703125" bestFit="1" customWidth="1"/>
    <col min="13567" max="13567" width="10.140625" customWidth="1"/>
    <col min="13568" max="13568" width="41.42578125" customWidth="1"/>
    <col min="13569" max="13569" width="25.140625" customWidth="1"/>
    <col min="13570" max="13570" width="15.85546875" customWidth="1"/>
    <col min="13571" max="13571" width="12.5703125" bestFit="1" customWidth="1"/>
    <col min="13572" max="13572" width="11.5703125" bestFit="1" customWidth="1"/>
    <col min="13823" max="13823" width="10.140625" customWidth="1"/>
    <col min="13824" max="13824" width="41.42578125" customWidth="1"/>
    <col min="13825" max="13825" width="25.140625" customWidth="1"/>
    <col min="13826" max="13826" width="15.85546875" customWidth="1"/>
    <col min="13827" max="13827" width="12.5703125" bestFit="1" customWidth="1"/>
    <col min="13828" max="13828" width="11.5703125" bestFit="1" customWidth="1"/>
    <col min="14079" max="14079" width="10.140625" customWidth="1"/>
    <col min="14080" max="14080" width="41.42578125" customWidth="1"/>
    <col min="14081" max="14081" width="25.140625" customWidth="1"/>
    <col min="14082" max="14082" width="15.85546875" customWidth="1"/>
    <col min="14083" max="14083" width="12.5703125" bestFit="1" customWidth="1"/>
    <col min="14084" max="14084" width="11.5703125" bestFit="1" customWidth="1"/>
    <col min="14335" max="14335" width="10.140625" customWidth="1"/>
    <col min="14336" max="14336" width="41.42578125" customWidth="1"/>
    <col min="14337" max="14337" width="25.140625" customWidth="1"/>
    <col min="14338" max="14338" width="15.85546875" customWidth="1"/>
    <col min="14339" max="14339" width="12.5703125" bestFit="1" customWidth="1"/>
    <col min="14340" max="14340" width="11.5703125" bestFit="1" customWidth="1"/>
    <col min="14591" max="14591" width="10.140625" customWidth="1"/>
    <col min="14592" max="14592" width="41.42578125" customWidth="1"/>
    <col min="14593" max="14593" width="25.140625" customWidth="1"/>
    <col min="14594" max="14594" width="15.85546875" customWidth="1"/>
    <col min="14595" max="14595" width="12.5703125" bestFit="1" customWidth="1"/>
    <col min="14596" max="14596" width="11.5703125" bestFit="1" customWidth="1"/>
    <col min="14847" max="14847" width="10.140625" customWidth="1"/>
    <col min="14848" max="14848" width="41.42578125" customWidth="1"/>
    <col min="14849" max="14849" width="25.140625" customWidth="1"/>
    <col min="14850" max="14850" width="15.85546875" customWidth="1"/>
    <col min="14851" max="14851" width="12.5703125" bestFit="1" customWidth="1"/>
    <col min="14852" max="14852" width="11.5703125" bestFit="1" customWidth="1"/>
    <col min="15103" max="15103" width="10.140625" customWidth="1"/>
    <col min="15104" max="15104" width="41.42578125" customWidth="1"/>
    <col min="15105" max="15105" width="25.140625" customWidth="1"/>
    <col min="15106" max="15106" width="15.85546875" customWidth="1"/>
    <col min="15107" max="15107" width="12.5703125" bestFit="1" customWidth="1"/>
    <col min="15108" max="15108" width="11.5703125" bestFit="1" customWidth="1"/>
    <col min="15359" max="15359" width="10.140625" customWidth="1"/>
    <col min="15360" max="15360" width="41.42578125" customWidth="1"/>
    <col min="15361" max="15361" width="25.140625" customWidth="1"/>
    <col min="15362" max="15362" width="15.85546875" customWidth="1"/>
    <col min="15363" max="15363" width="12.5703125" bestFit="1" customWidth="1"/>
    <col min="15364" max="15364" width="11.5703125" bestFit="1" customWidth="1"/>
    <col min="15615" max="15615" width="10.140625" customWidth="1"/>
    <col min="15616" max="15616" width="41.42578125" customWidth="1"/>
    <col min="15617" max="15617" width="25.140625" customWidth="1"/>
    <col min="15618" max="15618" width="15.85546875" customWidth="1"/>
    <col min="15619" max="15619" width="12.5703125" bestFit="1" customWidth="1"/>
    <col min="15620" max="15620" width="11.5703125" bestFit="1" customWidth="1"/>
    <col min="15871" max="15871" width="10.140625" customWidth="1"/>
    <col min="15872" max="15872" width="41.42578125" customWidth="1"/>
    <col min="15873" max="15873" width="25.140625" customWidth="1"/>
    <col min="15874" max="15874" width="15.85546875" customWidth="1"/>
    <col min="15875" max="15875" width="12.5703125" bestFit="1" customWidth="1"/>
    <col min="15876" max="15876" width="11.5703125" bestFit="1" customWidth="1"/>
    <col min="16127" max="16127" width="10.140625" customWidth="1"/>
    <col min="16128" max="16128" width="41.42578125" customWidth="1"/>
    <col min="16129" max="16129" width="25.140625" customWidth="1"/>
    <col min="16130" max="16130" width="15.85546875" customWidth="1"/>
    <col min="16131" max="16131" width="12.5703125" bestFit="1" customWidth="1"/>
    <col min="16132" max="16132" width="11.5703125" bestFit="1" customWidth="1"/>
  </cols>
  <sheetData>
    <row r="1" spans="1:4" ht="18">
      <c r="A1" s="71"/>
      <c r="B1" s="71"/>
      <c r="C1" s="71"/>
    </row>
    <row r="2" spans="1:4" ht="36" customHeight="1">
      <c r="A2" s="419" t="s">
        <v>106</v>
      </c>
      <c r="B2" s="419"/>
      <c r="C2" s="419"/>
    </row>
    <row r="3" spans="1:4" ht="24.75" customHeight="1">
      <c r="A3" s="126"/>
      <c r="B3" s="126"/>
      <c r="C3" s="126"/>
    </row>
    <row r="4" spans="1:4" ht="45" customHeight="1">
      <c r="A4" s="420" t="s">
        <v>110</v>
      </c>
      <c r="B4" s="420"/>
      <c r="C4" s="420"/>
    </row>
    <row r="5" spans="1:4" ht="15.75" thickBot="1">
      <c r="C5" s="72" t="s">
        <v>72</v>
      </c>
    </row>
    <row r="6" spans="1:4" s="100" customFormat="1" ht="41.25" customHeight="1" thickBot="1">
      <c r="A6" s="73" t="s">
        <v>1</v>
      </c>
      <c r="B6" s="73" t="s">
        <v>107</v>
      </c>
      <c r="C6" s="73" t="s">
        <v>105</v>
      </c>
    </row>
    <row r="7" spans="1:4" s="102" customFormat="1" ht="35.1" customHeight="1" thickBot="1">
      <c r="A7" s="74">
        <v>1</v>
      </c>
      <c r="B7" s="75" t="s">
        <v>112</v>
      </c>
      <c r="C7" s="74" t="s">
        <v>111</v>
      </c>
      <c r="D7" s="101"/>
    </row>
    <row r="8" spans="1:4" s="102" customFormat="1" ht="35.1" customHeight="1" thickBot="1">
      <c r="A8" s="74">
        <v>2</v>
      </c>
      <c r="B8" s="75" t="s">
        <v>113</v>
      </c>
      <c r="C8" s="74" t="s">
        <v>111</v>
      </c>
      <c r="D8" s="101"/>
    </row>
    <row r="9" spans="1:4" s="102" customFormat="1" ht="35.1" customHeight="1" thickBot="1">
      <c r="A9" s="74">
        <v>3</v>
      </c>
      <c r="B9" s="75" t="s">
        <v>114</v>
      </c>
      <c r="C9" s="74" t="s">
        <v>111</v>
      </c>
      <c r="D9" s="101"/>
    </row>
    <row r="10" spans="1:4" s="102" customFormat="1" ht="35.1" customHeight="1" thickBot="1">
      <c r="A10" s="74">
        <v>4</v>
      </c>
      <c r="B10" s="75" t="s">
        <v>115</v>
      </c>
      <c r="C10" s="74" t="s">
        <v>111</v>
      </c>
      <c r="D10" s="101"/>
    </row>
    <row r="11" spans="1:4" s="102" customFormat="1" ht="35.1" customHeight="1" thickBot="1">
      <c r="A11" s="74">
        <v>5</v>
      </c>
      <c r="B11" s="75" t="s">
        <v>116</v>
      </c>
      <c r="C11" s="74" t="s">
        <v>111</v>
      </c>
      <c r="D11" s="101"/>
    </row>
    <row r="12" spans="1:4" s="102" customFormat="1" ht="35.1" customHeight="1" thickBot="1">
      <c r="A12" s="74">
        <v>6</v>
      </c>
      <c r="B12" s="75" t="s">
        <v>117</v>
      </c>
      <c r="C12" s="74" t="s">
        <v>111</v>
      </c>
      <c r="D12" s="101"/>
    </row>
    <row r="13" spans="1:4" s="102" customFormat="1" ht="35.1" customHeight="1" thickBot="1">
      <c r="A13" s="74">
        <v>7</v>
      </c>
      <c r="B13" s="75" t="s">
        <v>118</v>
      </c>
      <c r="C13" s="74" t="s">
        <v>109</v>
      </c>
      <c r="D13" s="101"/>
    </row>
    <row r="14" spans="1:4" s="102" customFormat="1" ht="35.1" customHeight="1" thickBot="1">
      <c r="A14" s="74">
        <v>8</v>
      </c>
      <c r="B14" s="75" t="s">
        <v>119</v>
      </c>
      <c r="C14" s="74" t="s">
        <v>108</v>
      </c>
      <c r="D14" s="101"/>
    </row>
    <row r="15" spans="1:4" s="102" customFormat="1" ht="35.1" customHeight="1" thickBot="1">
      <c r="A15" s="74">
        <v>9</v>
      </c>
      <c r="B15" s="75" t="s">
        <v>120</v>
      </c>
      <c r="C15" s="74" t="s">
        <v>109</v>
      </c>
      <c r="D15" s="101"/>
    </row>
    <row r="16" spans="1:4" s="102" customFormat="1" ht="35.1" customHeight="1" thickBot="1">
      <c r="A16" s="74">
        <v>10</v>
      </c>
      <c r="B16" s="75" t="s">
        <v>121</v>
      </c>
      <c r="C16" s="74" t="s">
        <v>108</v>
      </c>
      <c r="D16" s="101"/>
    </row>
    <row r="17" spans="1:4" s="102" customFormat="1" ht="35.1" customHeight="1" thickBot="1">
      <c r="A17" s="74">
        <v>11</v>
      </c>
      <c r="B17" s="75" t="s">
        <v>122</v>
      </c>
      <c r="C17" s="74" t="s">
        <v>109</v>
      </c>
      <c r="D17" s="101"/>
    </row>
    <row r="18" spans="1:4" s="102" customFormat="1" ht="35.1" customHeight="1" thickBot="1">
      <c r="A18" s="74">
        <v>12</v>
      </c>
      <c r="B18" s="75" t="s">
        <v>123</v>
      </c>
      <c r="C18" s="74" t="s">
        <v>108</v>
      </c>
      <c r="D18" s="101"/>
    </row>
    <row r="19" spans="1:4" s="102" customFormat="1" ht="35.1" customHeight="1" thickBot="1">
      <c r="A19" s="74">
        <v>13</v>
      </c>
      <c r="B19" s="75" t="s">
        <v>125</v>
      </c>
      <c r="C19" s="74" t="s">
        <v>108</v>
      </c>
      <c r="D19" s="101"/>
    </row>
    <row r="21" spans="1:4">
      <c r="C21" s="125"/>
    </row>
    <row r="22" spans="1:4">
      <c r="C22" s="81"/>
    </row>
    <row r="23" spans="1:4">
      <c r="C23" s="81"/>
    </row>
    <row r="24" spans="1:4">
      <c r="B24" s="121" t="s">
        <v>100</v>
      </c>
      <c r="C24" s="121" t="s">
        <v>24</v>
      </c>
    </row>
    <row r="25" spans="1:4">
      <c r="B25" s="121" t="s">
        <v>104</v>
      </c>
      <c r="C25" s="121" t="s">
        <v>103</v>
      </c>
    </row>
    <row r="26" spans="1:4">
      <c r="B26" s="121" t="s">
        <v>102</v>
      </c>
      <c r="C26" s="121" t="s">
        <v>102</v>
      </c>
    </row>
    <row r="27" spans="1:4">
      <c r="B27" s="1"/>
    </row>
  </sheetData>
  <mergeCells count="2">
    <mergeCell ref="A2:C2"/>
    <mergeCell ref="A4:C4"/>
  </mergeCells>
  <printOptions horizontalCentered="1"/>
  <pageMargins left="0.75" right="0.25" top="0.75" bottom="0.25"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dimension ref="A2:IV26"/>
  <sheetViews>
    <sheetView workbookViewId="0">
      <selection activeCell="H20" sqref="H20"/>
    </sheetView>
  </sheetViews>
  <sheetFormatPr defaultRowHeight="15.75"/>
  <cols>
    <col min="1" max="6" width="9.140625" style="354"/>
    <col min="7" max="7" width="10.85546875" style="354" bestFit="1" customWidth="1"/>
    <col min="8" max="8" width="9.140625" style="354"/>
    <col min="9" max="9" width="12.42578125" style="354" customWidth="1"/>
    <col min="10" max="16384" width="9.140625" style="354"/>
  </cols>
  <sheetData>
    <row r="2" spans="1:256" ht="20.25">
      <c r="A2" s="350" t="s">
        <v>332</v>
      </c>
      <c r="B2" s="351"/>
      <c r="C2" s="351"/>
      <c r="D2" s="351"/>
      <c r="E2" s="351"/>
      <c r="F2" s="351"/>
      <c r="G2" s="352"/>
      <c r="H2" s="352"/>
      <c r="I2" s="352"/>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c r="AL2" s="353"/>
      <c r="AM2" s="353"/>
      <c r="AN2" s="353"/>
      <c r="AO2" s="353"/>
      <c r="AP2" s="353"/>
      <c r="AQ2" s="353"/>
      <c r="AR2" s="353"/>
      <c r="AS2" s="353"/>
      <c r="AT2" s="353"/>
      <c r="AU2" s="353"/>
      <c r="AV2" s="353"/>
      <c r="AW2" s="353"/>
      <c r="AX2" s="353"/>
      <c r="AY2" s="353"/>
      <c r="AZ2" s="353"/>
      <c r="BA2" s="353"/>
      <c r="BB2" s="353"/>
      <c r="BC2" s="353"/>
      <c r="BD2" s="353"/>
      <c r="BE2" s="353"/>
      <c r="BF2" s="353"/>
      <c r="BG2" s="353"/>
      <c r="BH2" s="353"/>
      <c r="BI2" s="353"/>
      <c r="BJ2" s="353"/>
      <c r="BK2" s="353"/>
      <c r="BL2" s="353"/>
      <c r="BM2" s="353"/>
      <c r="BN2" s="353"/>
      <c r="BO2" s="353"/>
      <c r="BP2" s="353"/>
      <c r="BQ2" s="353"/>
      <c r="BR2" s="353"/>
      <c r="BS2" s="353"/>
      <c r="BT2" s="353"/>
      <c r="BU2" s="353"/>
      <c r="BV2" s="353"/>
      <c r="BW2" s="353"/>
      <c r="BX2" s="353"/>
      <c r="BY2" s="353"/>
      <c r="BZ2" s="353"/>
      <c r="CA2" s="353"/>
      <c r="CB2" s="353"/>
      <c r="CC2" s="353"/>
      <c r="CD2" s="353"/>
      <c r="CE2" s="353"/>
      <c r="CF2" s="353"/>
      <c r="CG2" s="353"/>
      <c r="CH2" s="353"/>
      <c r="CI2" s="353"/>
      <c r="CJ2" s="353"/>
      <c r="CK2" s="353"/>
      <c r="CL2" s="353"/>
      <c r="CM2" s="353"/>
      <c r="CN2" s="353"/>
      <c r="CO2" s="353"/>
      <c r="CP2" s="353"/>
      <c r="CQ2" s="353"/>
      <c r="CR2" s="353"/>
      <c r="CS2" s="353"/>
      <c r="CT2" s="353"/>
      <c r="CU2" s="353"/>
      <c r="CV2" s="353"/>
      <c r="CW2" s="353"/>
      <c r="CX2" s="353"/>
      <c r="CY2" s="353"/>
      <c r="CZ2" s="353"/>
      <c r="DA2" s="353"/>
      <c r="DB2" s="353"/>
      <c r="DC2" s="353"/>
      <c r="DD2" s="353"/>
      <c r="DE2" s="353"/>
      <c r="DF2" s="353"/>
      <c r="DG2" s="353"/>
      <c r="DH2" s="353"/>
      <c r="DI2" s="353"/>
      <c r="DJ2" s="353"/>
      <c r="DK2" s="353"/>
      <c r="DL2" s="353"/>
      <c r="DM2" s="353"/>
      <c r="DN2" s="353"/>
      <c r="DO2" s="353"/>
      <c r="DP2" s="353"/>
      <c r="DQ2" s="353"/>
      <c r="DR2" s="353"/>
      <c r="DS2" s="353"/>
      <c r="DT2" s="353"/>
      <c r="DU2" s="353"/>
      <c r="DV2" s="353"/>
      <c r="DW2" s="353"/>
      <c r="DX2" s="353"/>
      <c r="DY2" s="353"/>
      <c r="DZ2" s="353"/>
      <c r="EA2" s="353"/>
      <c r="EB2" s="353"/>
      <c r="EC2" s="353"/>
      <c r="ED2" s="353"/>
      <c r="EE2" s="353"/>
      <c r="EF2" s="353"/>
      <c r="EG2" s="353"/>
      <c r="EH2" s="353"/>
      <c r="EI2" s="353"/>
      <c r="EJ2" s="353"/>
      <c r="EK2" s="353"/>
      <c r="EL2" s="353"/>
      <c r="EM2" s="353"/>
      <c r="EN2" s="353"/>
      <c r="EO2" s="353"/>
      <c r="EP2" s="353"/>
      <c r="EQ2" s="353"/>
      <c r="ER2" s="353"/>
      <c r="ES2" s="353"/>
      <c r="ET2" s="353"/>
      <c r="EU2" s="353"/>
      <c r="EV2" s="353"/>
      <c r="EW2" s="353"/>
      <c r="EX2" s="353"/>
      <c r="EY2" s="353"/>
      <c r="EZ2" s="353"/>
      <c r="FA2" s="353"/>
      <c r="FB2" s="353"/>
      <c r="FC2" s="353"/>
      <c r="FD2" s="353"/>
      <c r="FE2" s="353"/>
      <c r="FF2" s="353"/>
      <c r="FG2" s="353"/>
      <c r="FH2" s="353"/>
      <c r="FI2" s="353"/>
      <c r="FJ2" s="353"/>
      <c r="FK2" s="353"/>
      <c r="FL2" s="353"/>
      <c r="FM2" s="353"/>
      <c r="FN2" s="353"/>
      <c r="FO2" s="353"/>
      <c r="FP2" s="353"/>
      <c r="FQ2" s="353"/>
      <c r="FR2" s="353"/>
      <c r="FS2" s="353"/>
      <c r="FT2" s="353"/>
      <c r="FU2" s="353"/>
      <c r="FV2" s="353"/>
      <c r="FW2" s="353"/>
      <c r="FX2" s="353"/>
      <c r="FY2" s="353"/>
      <c r="FZ2" s="353"/>
      <c r="GA2" s="353"/>
      <c r="GB2" s="353"/>
      <c r="GC2" s="353"/>
      <c r="GD2" s="353"/>
      <c r="GE2" s="353"/>
      <c r="GF2" s="353"/>
      <c r="GG2" s="353"/>
      <c r="GH2" s="353"/>
      <c r="GI2" s="353"/>
      <c r="GJ2" s="353"/>
      <c r="GK2" s="353"/>
      <c r="GL2" s="353"/>
      <c r="GM2" s="353"/>
      <c r="GN2" s="353"/>
      <c r="GO2" s="353"/>
      <c r="GP2" s="353"/>
      <c r="GQ2" s="353"/>
      <c r="GR2" s="353"/>
      <c r="GS2" s="353"/>
      <c r="GT2" s="353"/>
      <c r="GU2" s="353"/>
      <c r="GV2" s="353"/>
      <c r="GW2" s="353"/>
      <c r="GX2" s="353"/>
      <c r="GY2" s="353"/>
      <c r="GZ2" s="353"/>
      <c r="HA2" s="353"/>
      <c r="HB2" s="353"/>
      <c r="HC2" s="353"/>
      <c r="HD2" s="353"/>
      <c r="HE2" s="353"/>
      <c r="HF2" s="353"/>
      <c r="HG2" s="353"/>
      <c r="HH2" s="353"/>
      <c r="HI2" s="353"/>
      <c r="HJ2" s="353"/>
      <c r="HK2" s="353"/>
      <c r="HL2" s="353"/>
      <c r="HM2" s="353"/>
      <c r="HN2" s="353"/>
      <c r="HO2" s="353"/>
      <c r="HP2" s="353"/>
      <c r="HQ2" s="353"/>
      <c r="HR2" s="353"/>
      <c r="HS2" s="353"/>
      <c r="HT2" s="353"/>
      <c r="HU2" s="353"/>
      <c r="HV2" s="353"/>
      <c r="HW2" s="353"/>
      <c r="HX2" s="353"/>
      <c r="HY2" s="353"/>
      <c r="HZ2" s="353"/>
      <c r="IA2" s="353"/>
      <c r="IB2" s="353"/>
      <c r="IC2" s="353"/>
      <c r="ID2" s="353"/>
      <c r="IE2" s="353"/>
      <c r="IF2" s="353"/>
      <c r="IG2" s="353"/>
      <c r="IH2" s="353"/>
      <c r="II2" s="353"/>
      <c r="IJ2" s="353"/>
      <c r="IK2" s="353"/>
      <c r="IL2" s="353"/>
      <c r="IM2" s="353"/>
      <c r="IN2" s="353"/>
      <c r="IO2" s="353"/>
      <c r="IP2" s="353"/>
      <c r="IQ2" s="353"/>
      <c r="IR2" s="353"/>
      <c r="IS2" s="353"/>
      <c r="IT2" s="353"/>
      <c r="IU2" s="353"/>
      <c r="IV2" s="353"/>
    </row>
    <row r="3" spans="1:256" ht="18.75">
      <c r="A3" s="355"/>
      <c r="B3" s="356"/>
      <c r="C3" s="356"/>
      <c r="D3" s="356"/>
      <c r="E3" s="356"/>
      <c r="F3" s="356"/>
      <c r="G3" s="357"/>
      <c r="H3" s="357"/>
      <c r="I3" s="357"/>
    </row>
    <row r="4" spans="1:256">
      <c r="A4" s="358"/>
      <c r="B4" s="435" t="str">
        <f>Estimate.!C2</f>
        <v>Rehbalitation , Improvement / Renovation &amp; provision for Missing Facilities existing primary / Elementary school at GBPS. Saeedpur Taluka B.S.Karim District Tando Mohammad Khan.</v>
      </c>
      <c r="C4" s="435"/>
      <c r="D4" s="435"/>
      <c r="E4" s="435"/>
      <c r="F4" s="435"/>
      <c r="G4" s="435"/>
      <c r="H4" s="435"/>
      <c r="I4" s="435"/>
      <c r="J4" s="359"/>
      <c r="K4" s="359"/>
    </row>
    <row r="5" spans="1:256">
      <c r="A5" s="358"/>
      <c r="B5" s="435"/>
      <c r="C5" s="435"/>
      <c r="D5" s="435"/>
      <c r="E5" s="435"/>
      <c r="F5" s="435"/>
      <c r="G5" s="435"/>
      <c r="H5" s="435"/>
      <c r="I5" s="435"/>
      <c r="J5" s="359"/>
      <c r="K5" s="359"/>
    </row>
    <row r="6" spans="1:256">
      <c r="A6" s="358"/>
      <c r="B6" s="435"/>
      <c r="C6" s="435"/>
      <c r="D6" s="435"/>
      <c r="E6" s="435"/>
      <c r="F6" s="435"/>
      <c r="G6" s="435"/>
      <c r="H6" s="435"/>
      <c r="I6" s="435"/>
      <c r="J6" s="359"/>
      <c r="K6" s="359"/>
    </row>
    <row r="7" spans="1:256" ht="16.5" thickBot="1">
      <c r="A7" s="360"/>
    </row>
    <row r="8" spans="1:256" ht="16.5" thickTop="1">
      <c r="A8" s="436" t="s">
        <v>333</v>
      </c>
      <c r="B8" s="438" t="s">
        <v>334</v>
      </c>
      <c r="C8" s="448"/>
      <c r="D8" s="448"/>
      <c r="E8" s="448"/>
      <c r="F8" s="449"/>
      <c r="G8" s="361" t="s">
        <v>335</v>
      </c>
      <c r="H8" s="361" t="s">
        <v>336</v>
      </c>
      <c r="I8" s="361" t="s">
        <v>337</v>
      </c>
    </row>
    <row r="9" spans="1:256" ht="16.5" thickBot="1">
      <c r="A9" s="437"/>
      <c r="B9" s="439"/>
      <c r="C9" s="450"/>
      <c r="D9" s="450"/>
      <c r="E9" s="450"/>
      <c r="F9" s="451"/>
      <c r="G9" s="362" t="s">
        <v>338</v>
      </c>
      <c r="H9" s="362" t="s">
        <v>339</v>
      </c>
      <c r="I9" s="362" t="s">
        <v>340</v>
      </c>
    </row>
    <row r="10" spans="1:256" ht="16.5" thickTop="1"/>
    <row r="11" spans="1:256">
      <c r="A11" s="363">
        <v>1</v>
      </c>
      <c r="B11" s="364" t="s">
        <v>96</v>
      </c>
      <c r="G11" s="365">
        <f>Sheet1!L19</f>
        <v>7598850</v>
      </c>
      <c r="H11" s="365" t="s">
        <v>209</v>
      </c>
      <c r="I11" s="365">
        <f>+G11</f>
        <v>7598850</v>
      </c>
    </row>
    <row r="12" spans="1:256">
      <c r="A12" s="363"/>
      <c r="B12" s="452"/>
      <c r="C12" s="452"/>
      <c r="G12" s="365"/>
      <c r="H12" s="365"/>
      <c r="I12" s="365"/>
    </row>
    <row r="13" spans="1:256">
      <c r="A13" s="363">
        <v>2</v>
      </c>
      <c r="B13" s="364" t="s">
        <v>343</v>
      </c>
      <c r="G13" s="365">
        <f>Sheet1!L23</f>
        <v>812500</v>
      </c>
      <c r="H13" s="365"/>
      <c r="I13" s="365">
        <f>+G13</f>
        <v>812500</v>
      </c>
    </row>
    <row r="14" spans="1:256" ht="16.5" thickBot="1">
      <c r="A14" s="363"/>
      <c r="C14" s="367"/>
      <c r="D14" s="367"/>
      <c r="E14" s="367"/>
      <c r="F14" s="367"/>
      <c r="G14" s="367"/>
      <c r="H14" s="367"/>
      <c r="I14" s="368"/>
      <c r="J14" s="369"/>
    </row>
    <row r="15" spans="1:256">
      <c r="A15" s="363"/>
      <c r="C15" s="367"/>
      <c r="D15" s="367"/>
      <c r="E15" s="367"/>
      <c r="F15" s="367"/>
      <c r="G15" s="370" t="s">
        <v>98</v>
      </c>
      <c r="H15" s="367"/>
      <c r="I15" s="371">
        <f>SUM(I10:I14)</f>
        <v>8411350</v>
      </c>
      <c r="J15" s="369"/>
    </row>
    <row r="16" spans="1:256">
      <c r="A16" s="365"/>
      <c r="G16" s="370"/>
      <c r="H16" s="372"/>
      <c r="I16" s="371"/>
      <c r="J16" s="369"/>
    </row>
    <row r="17" spans="1:11">
      <c r="A17" s="365"/>
      <c r="G17" s="366"/>
      <c r="H17" s="373" t="s">
        <v>341</v>
      </c>
      <c r="I17" s="374">
        <v>8.4113500000000005</v>
      </c>
      <c r="J17" s="369"/>
    </row>
    <row r="18" spans="1:11">
      <c r="A18" s="365"/>
      <c r="I18" s="375"/>
      <c r="J18" s="369"/>
    </row>
    <row r="19" spans="1:11">
      <c r="A19" s="365"/>
      <c r="H19" s="376"/>
      <c r="I19" s="374"/>
    </row>
    <row r="21" spans="1:11">
      <c r="G21" s="377"/>
      <c r="H21" s="363"/>
      <c r="I21" s="377"/>
      <c r="J21" s="369"/>
      <c r="K21" s="369"/>
    </row>
    <row r="22" spans="1:11">
      <c r="I22" s="376"/>
      <c r="K22" s="369"/>
    </row>
    <row r="23" spans="1:11">
      <c r="C23" s="378" t="s">
        <v>100</v>
      </c>
      <c r="D23" s="379"/>
      <c r="E23" s="379"/>
      <c r="F23" s="379"/>
      <c r="H23" s="378" t="s">
        <v>24</v>
      </c>
      <c r="I23" s="375"/>
    </row>
    <row r="24" spans="1:11">
      <c r="C24" s="378" t="s">
        <v>101</v>
      </c>
      <c r="D24" s="379"/>
      <c r="E24" s="379"/>
      <c r="F24" s="379"/>
      <c r="H24" s="378" t="s">
        <v>84</v>
      </c>
      <c r="I24" s="375"/>
    </row>
    <row r="25" spans="1:11">
      <c r="C25" s="378" t="s">
        <v>102</v>
      </c>
      <c r="D25" s="379"/>
      <c r="E25" s="379"/>
      <c r="F25" s="379"/>
      <c r="H25" s="378" t="s">
        <v>102</v>
      </c>
    </row>
    <row r="26" spans="1:11">
      <c r="B26" s="380"/>
      <c r="C26" s="380"/>
      <c r="D26" s="380"/>
      <c r="E26" s="380"/>
      <c r="F26" s="380"/>
    </row>
  </sheetData>
  <mergeCells count="4">
    <mergeCell ref="B4:I6"/>
    <mergeCell ref="A8:A9"/>
    <mergeCell ref="B8:F9"/>
    <mergeCell ref="B12:C12"/>
  </mergeCells>
  <pageMargins left="0.7" right="0.2" top="0.5" bottom="0.2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dimension ref="A1:Q213"/>
  <sheetViews>
    <sheetView topLeftCell="A59" workbookViewId="0">
      <selection activeCell="B24" sqref="B24"/>
    </sheetView>
  </sheetViews>
  <sheetFormatPr defaultColWidth="24" defaultRowHeight="17.100000000000001" customHeight="1"/>
  <cols>
    <col min="1" max="1" width="6.140625" style="131" customWidth="1"/>
    <col min="2" max="2" width="21.7109375" style="131" customWidth="1"/>
    <col min="3" max="3" width="3.42578125" style="131" customWidth="1"/>
    <col min="4" max="4" width="2" style="131" customWidth="1"/>
    <col min="5" max="5" width="7.140625" style="131" customWidth="1"/>
    <col min="6" max="6" width="2" style="131" customWidth="1"/>
    <col min="7" max="7" width="9" style="131" customWidth="1"/>
    <col min="8" max="8" width="2" style="131" customWidth="1"/>
    <col min="9" max="9" width="9" style="131" customWidth="1"/>
    <col min="10" max="10" width="2" style="131" customWidth="1"/>
    <col min="11" max="11" width="8.7109375" style="131" customWidth="1"/>
    <col min="12" max="12" width="2" style="131" customWidth="1"/>
    <col min="13" max="13" width="8.7109375" style="131" customWidth="1"/>
    <col min="14" max="14" width="2" style="131" customWidth="1"/>
    <col min="15" max="15" width="10.140625" style="131" customWidth="1"/>
    <col min="16" max="16" width="3.7109375" style="131" customWidth="1"/>
    <col min="17" max="17" width="2" style="131" customWidth="1"/>
    <col min="18" max="16384" width="24" style="131"/>
  </cols>
  <sheetData>
    <row r="1" spans="1:17" ht="17.100000000000001" customHeight="1">
      <c r="A1" s="129"/>
      <c r="B1" s="130"/>
      <c r="C1" s="130"/>
      <c r="D1" s="130"/>
      <c r="E1" s="130"/>
      <c r="F1" s="130"/>
      <c r="G1" s="130"/>
      <c r="H1" s="130"/>
      <c r="I1" s="130"/>
      <c r="J1" s="130"/>
      <c r="K1" s="130"/>
      <c r="L1" s="130"/>
      <c r="M1" s="130"/>
      <c r="N1" s="130"/>
      <c r="O1" s="130"/>
      <c r="P1" s="130"/>
      <c r="Q1" s="130"/>
    </row>
    <row r="2" spans="1:17" ht="17.100000000000001" customHeight="1">
      <c r="A2" s="129"/>
      <c r="B2" s="132" t="s">
        <v>126</v>
      </c>
      <c r="C2" s="472" t="s">
        <v>195</v>
      </c>
      <c r="D2" s="472"/>
      <c r="E2" s="472"/>
      <c r="F2" s="472"/>
      <c r="G2" s="472"/>
      <c r="H2" s="472"/>
      <c r="I2" s="472"/>
      <c r="J2" s="472"/>
      <c r="K2" s="472"/>
      <c r="L2" s="472"/>
      <c r="M2" s="472"/>
      <c r="N2" s="472"/>
      <c r="O2" s="472"/>
      <c r="P2" s="472"/>
      <c r="Q2" s="133"/>
    </row>
    <row r="3" spans="1:17" ht="17.100000000000001" customHeight="1">
      <c r="A3" s="129"/>
      <c r="B3" s="132"/>
      <c r="C3" s="472"/>
      <c r="D3" s="472"/>
      <c r="E3" s="472"/>
      <c r="F3" s="472"/>
      <c r="G3" s="472"/>
      <c r="H3" s="472"/>
      <c r="I3" s="472"/>
      <c r="J3" s="472"/>
      <c r="K3" s="472"/>
      <c r="L3" s="472"/>
      <c r="M3" s="472"/>
      <c r="N3" s="472"/>
      <c r="O3" s="472"/>
      <c r="P3" s="472"/>
      <c r="Q3" s="133"/>
    </row>
    <row r="4" spans="1:17" ht="17.100000000000001" customHeight="1">
      <c r="A4" s="129"/>
      <c r="B4" s="132"/>
      <c r="C4" s="472"/>
      <c r="D4" s="472"/>
      <c r="E4" s="472"/>
      <c r="F4" s="472"/>
      <c r="G4" s="472"/>
      <c r="H4" s="472"/>
      <c r="I4" s="472"/>
      <c r="J4" s="472"/>
      <c r="K4" s="472"/>
      <c r="L4" s="472"/>
      <c r="M4" s="472"/>
      <c r="N4" s="472"/>
      <c r="O4" s="472"/>
      <c r="P4" s="472"/>
      <c r="Q4" s="133"/>
    </row>
    <row r="5" spans="1:17" ht="17.100000000000001" customHeight="1">
      <c r="A5" s="129"/>
      <c r="B5" s="132"/>
      <c r="C5" s="134"/>
      <c r="D5" s="134"/>
      <c r="E5" s="134"/>
      <c r="F5" s="134"/>
      <c r="G5" s="134"/>
      <c r="H5" s="134"/>
      <c r="I5" s="134"/>
      <c r="J5" s="134"/>
      <c r="K5" s="134"/>
      <c r="L5" s="134"/>
      <c r="M5" s="134"/>
      <c r="N5" s="134"/>
      <c r="O5" s="134"/>
      <c r="P5" s="134"/>
      <c r="Q5" s="133"/>
    </row>
    <row r="6" spans="1:17" ht="21.75" customHeight="1" thickBot="1">
      <c r="A6" s="129"/>
      <c r="B6" s="473" t="s">
        <v>127</v>
      </c>
      <c r="C6" s="473"/>
      <c r="D6" s="473"/>
      <c r="E6" s="473"/>
      <c r="F6" s="473"/>
      <c r="G6" s="473"/>
      <c r="H6" s="473"/>
      <c r="I6" s="473"/>
      <c r="J6" s="473"/>
      <c r="K6" s="473"/>
      <c r="L6" s="473"/>
      <c r="M6" s="473"/>
      <c r="N6" s="473"/>
      <c r="O6" s="473"/>
      <c r="P6" s="473"/>
      <c r="Q6" s="133"/>
    </row>
    <row r="7" spans="1:17" ht="17.100000000000001" customHeight="1" thickBot="1">
      <c r="A7" s="453" t="s">
        <v>128</v>
      </c>
      <c r="B7" s="453" t="s">
        <v>129</v>
      </c>
      <c r="C7" s="455" t="s">
        <v>130</v>
      </c>
      <c r="D7" s="456"/>
      <c r="E7" s="456"/>
      <c r="F7" s="456"/>
      <c r="G7" s="456"/>
      <c r="H7" s="456"/>
      <c r="I7" s="456"/>
      <c r="J7" s="456"/>
      <c r="K7" s="456"/>
      <c r="L7" s="456"/>
      <c r="M7" s="456"/>
      <c r="N7" s="457"/>
      <c r="O7" s="458" t="s">
        <v>131</v>
      </c>
      <c r="P7" s="459"/>
      <c r="Q7" s="135"/>
    </row>
    <row r="8" spans="1:17" ht="17.100000000000001" customHeight="1" thickBot="1">
      <c r="A8" s="454"/>
      <c r="B8" s="454"/>
      <c r="C8" s="462" t="s">
        <v>132</v>
      </c>
      <c r="D8" s="463"/>
      <c r="E8" s="463"/>
      <c r="F8" s="464"/>
      <c r="G8" s="462" t="s">
        <v>133</v>
      </c>
      <c r="H8" s="464"/>
      <c r="I8" s="462" t="s">
        <v>134</v>
      </c>
      <c r="J8" s="464"/>
      <c r="K8" s="455" t="s">
        <v>135</v>
      </c>
      <c r="L8" s="456"/>
      <c r="M8" s="456"/>
      <c r="N8" s="457"/>
      <c r="O8" s="460"/>
      <c r="P8" s="461"/>
      <c r="Q8" s="136"/>
    </row>
    <row r="9" spans="1:17" ht="17.100000000000001" customHeight="1">
      <c r="A9" s="137"/>
      <c r="B9" s="137"/>
      <c r="C9" s="137"/>
      <c r="D9" s="137"/>
      <c r="E9" s="137"/>
      <c r="F9" s="137"/>
      <c r="G9" s="137"/>
      <c r="H9" s="137"/>
      <c r="I9" s="137"/>
      <c r="J9" s="137"/>
      <c r="K9" s="138"/>
      <c r="L9" s="138"/>
      <c r="M9" s="138"/>
      <c r="N9" s="138"/>
      <c r="O9" s="137"/>
      <c r="P9" s="137"/>
      <c r="Q9" s="139"/>
    </row>
    <row r="10" spans="1:17" ht="17.100000000000001" customHeight="1">
      <c r="A10" s="140" t="s">
        <v>136</v>
      </c>
      <c r="B10" s="465" t="s">
        <v>137</v>
      </c>
      <c r="C10" s="465"/>
      <c r="D10" s="465"/>
      <c r="E10" s="465"/>
      <c r="F10" s="465"/>
      <c r="G10" s="465"/>
      <c r="H10" s="465"/>
      <c r="I10" s="465"/>
      <c r="J10" s="465"/>
      <c r="K10" s="465"/>
      <c r="L10" s="465"/>
      <c r="M10" s="465"/>
      <c r="N10" s="141"/>
      <c r="O10" s="142"/>
      <c r="P10" s="143"/>
      <c r="Q10" s="144"/>
    </row>
    <row r="11" spans="1:17" ht="17.100000000000001" customHeight="1">
      <c r="A11" s="140"/>
      <c r="B11" s="465"/>
      <c r="C11" s="465"/>
      <c r="D11" s="465"/>
      <c r="E11" s="465"/>
      <c r="F11" s="465"/>
      <c r="G11" s="465"/>
      <c r="H11" s="465"/>
      <c r="I11" s="465"/>
      <c r="J11" s="465"/>
      <c r="K11" s="465"/>
      <c r="L11" s="465"/>
      <c r="M11" s="465"/>
      <c r="N11" s="141"/>
      <c r="O11" s="142"/>
      <c r="P11" s="143"/>
      <c r="Q11" s="144"/>
    </row>
    <row r="12" spans="1:17" ht="17.100000000000001" customHeight="1">
      <c r="A12" s="140"/>
      <c r="B12" s="143" t="s">
        <v>138</v>
      </c>
      <c r="C12" s="145">
        <v>1</v>
      </c>
      <c r="D12" s="145" t="s">
        <v>139</v>
      </c>
      <c r="E12" s="145">
        <v>1</v>
      </c>
      <c r="F12" s="145" t="s">
        <v>139</v>
      </c>
      <c r="G12" s="146">
        <v>96.83</v>
      </c>
      <c r="H12" s="145" t="s">
        <v>139</v>
      </c>
      <c r="I12" s="146">
        <v>25.5</v>
      </c>
      <c r="J12" s="145" t="s">
        <v>139</v>
      </c>
      <c r="K12" s="146">
        <v>0.5</v>
      </c>
      <c r="L12" s="147"/>
      <c r="M12" s="147"/>
      <c r="N12" s="148" t="s">
        <v>140</v>
      </c>
      <c r="O12" s="149">
        <f>C12*E12*G12*I12*K12</f>
        <v>1234.5825</v>
      </c>
      <c r="P12" s="150" t="s">
        <v>141</v>
      </c>
      <c r="Q12" s="144"/>
    </row>
    <row r="13" spans="1:17" ht="17.100000000000001" customHeight="1">
      <c r="A13" s="140"/>
      <c r="B13" s="143" t="s">
        <v>196</v>
      </c>
      <c r="C13" s="145">
        <v>1</v>
      </c>
      <c r="D13" s="145" t="s">
        <v>139</v>
      </c>
      <c r="E13" s="145">
        <v>2</v>
      </c>
      <c r="F13" s="145" t="s">
        <v>139</v>
      </c>
      <c r="G13" s="146">
        <v>1.5</v>
      </c>
      <c r="H13" s="145" t="s">
        <v>139</v>
      </c>
      <c r="I13" s="146">
        <v>1.5</v>
      </c>
      <c r="J13" s="145" t="s">
        <v>139</v>
      </c>
      <c r="K13" s="146">
        <v>7</v>
      </c>
      <c r="L13" s="147"/>
      <c r="M13" s="147"/>
      <c r="N13" s="148" t="s">
        <v>140</v>
      </c>
      <c r="O13" s="149">
        <f>C13*E13*G13*I13*K13</f>
        <v>31.5</v>
      </c>
      <c r="P13" s="150" t="s">
        <v>141</v>
      </c>
      <c r="Q13" s="144"/>
    </row>
    <row r="14" spans="1:17" ht="17.100000000000001" customHeight="1" thickBot="1">
      <c r="A14" s="140"/>
      <c r="B14" s="151"/>
      <c r="C14" s="151"/>
      <c r="D14" s="151"/>
      <c r="E14" s="151"/>
      <c r="F14" s="151"/>
      <c r="G14" s="151"/>
      <c r="H14" s="151"/>
      <c r="I14" s="151"/>
      <c r="J14" s="151"/>
      <c r="K14" s="151"/>
      <c r="L14" s="151"/>
      <c r="M14" s="151"/>
      <c r="N14" s="141"/>
      <c r="O14" s="152">
        <f>SUM(O12:O13)</f>
        <v>1266.0825</v>
      </c>
      <c r="P14" s="153" t="s">
        <v>141</v>
      </c>
      <c r="Q14" s="144"/>
    </row>
    <row r="15" spans="1:17" ht="17.100000000000001" customHeight="1">
      <c r="A15" s="139"/>
      <c r="B15" s="139"/>
      <c r="C15" s="139"/>
      <c r="D15" s="139"/>
      <c r="E15" s="139"/>
      <c r="F15" s="139"/>
      <c r="G15" s="139"/>
      <c r="H15" s="139"/>
      <c r="I15" s="139"/>
      <c r="J15" s="139"/>
      <c r="K15" s="154"/>
      <c r="L15" s="154"/>
      <c r="M15" s="154"/>
      <c r="N15" s="154"/>
      <c r="O15" s="139"/>
      <c r="P15" s="139"/>
      <c r="Q15" s="139"/>
    </row>
    <row r="16" spans="1:17" ht="17.100000000000001" customHeight="1">
      <c r="A16" s="155" t="s">
        <v>143</v>
      </c>
      <c r="B16" s="466" t="s">
        <v>144</v>
      </c>
      <c r="C16" s="466"/>
      <c r="D16" s="466"/>
      <c r="E16" s="466"/>
      <c r="F16" s="466"/>
      <c r="G16" s="466"/>
      <c r="H16" s="466"/>
      <c r="I16" s="466"/>
      <c r="J16" s="466"/>
      <c r="K16" s="466"/>
      <c r="L16" s="466"/>
      <c r="M16" s="466"/>
      <c r="N16" s="156"/>
      <c r="O16" s="156"/>
      <c r="P16" s="156"/>
      <c r="Q16" s="144"/>
    </row>
    <row r="17" spans="1:17" ht="17.100000000000001" customHeight="1">
      <c r="A17" s="155"/>
      <c r="B17" s="157"/>
      <c r="C17" s="157"/>
      <c r="D17" s="157"/>
      <c r="E17" s="157"/>
      <c r="F17" s="157"/>
      <c r="G17" s="157"/>
      <c r="H17" s="157"/>
      <c r="I17" s="157"/>
      <c r="J17" s="157"/>
      <c r="K17" s="157"/>
      <c r="L17" s="157"/>
      <c r="M17" s="157"/>
      <c r="N17" s="156"/>
      <c r="O17" s="156"/>
      <c r="P17" s="156"/>
      <c r="Q17" s="144"/>
    </row>
    <row r="18" spans="1:17" ht="17.100000000000001" customHeight="1">
      <c r="A18" s="155"/>
      <c r="B18" s="147" t="s">
        <v>285</v>
      </c>
      <c r="C18" s="158">
        <v>1</v>
      </c>
      <c r="D18" s="159" t="s">
        <v>139</v>
      </c>
      <c r="E18" s="160">
        <v>3</v>
      </c>
      <c r="F18" s="159" t="s">
        <v>139</v>
      </c>
      <c r="G18" s="161">
        <v>96.83</v>
      </c>
      <c r="H18" s="141" t="s">
        <v>139</v>
      </c>
      <c r="I18" s="161">
        <v>1.1299999999999999</v>
      </c>
      <c r="J18" s="141" t="s">
        <v>139</v>
      </c>
      <c r="K18" s="161">
        <v>12</v>
      </c>
      <c r="L18" s="162"/>
      <c r="M18" s="161"/>
      <c r="N18" s="141" t="s">
        <v>140</v>
      </c>
      <c r="O18" s="163">
        <f>C18*E18*G18*I18*K18</f>
        <v>3939.0443999999998</v>
      </c>
      <c r="P18" s="150" t="s">
        <v>141</v>
      </c>
      <c r="Q18" s="144"/>
    </row>
    <row r="19" spans="1:17" ht="17.100000000000001" customHeight="1">
      <c r="A19" s="155"/>
      <c r="B19" s="147" t="s">
        <v>286</v>
      </c>
      <c r="C19" s="158">
        <v>1</v>
      </c>
      <c r="D19" s="159" t="s">
        <v>139</v>
      </c>
      <c r="E19" s="160">
        <v>6</v>
      </c>
      <c r="F19" s="159" t="s">
        <v>139</v>
      </c>
      <c r="G19" s="161">
        <v>16</v>
      </c>
      <c r="H19" s="141" t="s">
        <v>139</v>
      </c>
      <c r="I19" s="161">
        <v>1.1299999999999999</v>
      </c>
      <c r="J19" s="141" t="s">
        <v>139</v>
      </c>
      <c r="K19" s="161">
        <v>12</v>
      </c>
      <c r="L19" s="162"/>
      <c r="M19" s="161"/>
      <c r="N19" s="141" t="s">
        <v>140</v>
      </c>
      <c r="O19" s="163">
        <f>C19*E19*G19*I19*K19</f>
        <v>1301.7599999999998</v>
      </c>
      <c r="P19" s="150" t="s">
        <v>141</v>
      </c>
      <c r="Q19" s="144"/>
    </row>
    <row r="20" spans="1:17" ht="17.100000000000001" customHeight="1">
      <c r="A20" s="155"/>
      <c r="B20" s="147" t="s">
        <v>287</v>
      </c>
      <c r="C20" s="158">
        <v>1</v>
      </c>
      <c r="D20" s="159" t="s">
        <v>139</v>
      </c>
      <c r="E20" s="160">
        <v>2</v>
      </c>
      <c r="F20" s="159" t="s">
        <v>139</v>
      </c>
      <c r="G20" s="161">
        <v>6</v>
      </c>
      <c r="H20" s="141" t="s">
        <v>139</v>
      </c>
      <c r="I20" s="161">
        <v>1.1299999999999999</v>
      </c>
      <c r="J20" s="141" t="s">
        <v>139</v>
      </c>
      <c r="K20" s="161">
        <v>12</v>
      </c>
      <c r="L20" s="162"/>
      <c r="M20" s="161"/>
      <c r="N20" s="141" t="s">
        <v>140</v>
      </c>
      <c r="O20" s="163">
        <f t="shared" ref="O20:O24" si="0">C20*E20*G20*I20*K20</f>
        <v>162.71999999999997</v>
      </c>
      <c r="P20" s="150" t="s">
        <v>141</v>
      </c>
      <c r="Q20" s="144"/>
    </row>
    <row r="21" spans="1:17" ht="17.100000000000001" customHeight="1">
      <c r="A21" s="155"/>
      <c r="B21" s="147" t="s">
        <v>145</v>
      </c>
      <c r="C21" s="158">
        <v>1</v>
      </c>
      <c r="D21" s="159" t="s">
        <v>139</v>
      </c>
      <c r="E21" s="160">
        <v>2</v>
      </c>
      <c r="F21" s="159" t="s">
        <v>139</v>
      </c>
      <c r="G21" s="161">
        <v>130</v>
      </c>
      <c r="H21" s="141" t="s">
        <v>139</v>
      </c>
      <c r="I21" s="161">
        <v>0.37</v>
      </c>
      <c r="J21" s="141" t="s">
        <v>139</v>
      </c>
      <c r="K21" s="161">
        <v>6</v>
      </c>
      <c r="L21" s="162"/>
      <c r="M21" s="161"/>
      <c r="N21" s="141" t="s">
        <v>140</v>
      </c>
      <c r="O21" s="163">
        <f t="shared" si="0"/>
        <v>577.20000000000005</v>
      </c>
      <c r="P21" s="150" t="s">
        <v>141</v>
      </c>
      <c r="Q21" s="144"/>
    </row>
    <row r="22" spans="1:17" ht="17.100000000000001" customHeight="1">
      <c r="A22" s="155"/>
      <c r="B22" s="147" t="s">
        <v>145</v>
      </c>
      <c r="C22" s="158">
        <v>1</v>
      </c>
      <c r="D22" s="159" t="s">
        <v>139</v>
      </c>
      <c r="E22" s="160">
        <v>2</v>
      </c>
      <c r="F22" s="159" t="s">
        <v>139</v>
      </c>
      <c r="G22" s="161">
        <v>99.25</v>
      </c>
      <c r="H22" s="141" t="s">
        <v>139</v>
      </c>
      <c r="I22" s="161">
        <v>0.37</v>
      </c>
      <c r="J22" s="141" t="s">
        <v>139</v>
      </c>
      <c r="K22" s="161">
        <v>6</v>
      </c>
      <c r="L22" s="162"/>
      <c r="M22" s="161"/>
      <c r="N22" s="141" t="s">
        <v>140</v>
      </c>
      <c r="O22" s="163">
        <f t="shared" si="0"/>
        <v>440.66999999999996</v>
      </c>
      <c r="P22" s="150" t="s">
        <v>141</v>
      </c>
      <c r="Q22" s="144"/>
    </row>
    <row r="23" spans="1:17" ht="17.100000000000001" customHeight="1">
      <c r="A23" s="155"/>
      <c r="B23" s="147" t="s">
        <v>156</v>
      </c>
      <c r="C23" s="158">
        <v>1</v>
      </c>
      <c r="D23" s="159" t="s">
        <v>139</v>
      </c>
      <c r="E23" s="160">
        <v>3</v>
      </c>
      <c r="F23" s="159" t="s">
        <v>139</v>
      </c>
      <c r="G23" s="161">
        <v>10.25</v>
      </c>
      <c r="H23" s="141" t="s">
        <v>139</v>
      </c>
      <c r="I23" s="161">
        <v>0.75</v>
      </c>
      <c r="J23" s="141" t="s">
        <v>139</v>
      </c>
      <c r="K23" s="161">
        <v>8</v>
      </c>
      <c r="L23" s="162"/>
      <c r="M23" s="161"/>
      <c r="N23" s="141" t="s">
        <v>140</v>
      </c>
      <c r="O23" s="163">
        <f t="shared" si="0"/>
        <v>184.5</v>
      </c>
      <c r="P23" s="150" t="s">
        <v>141</v>
      </c>
      <c r="Q23" s="144"/>
    </row>
    <row r="24" spans="1:17" ht="17.100000000000001" customHeight="1">
      <c r="A24" s="155"/>
      <c r="B24" s="147" t="s">
        <v>156</v>
      </c>
      <c r="C24" s="158">
        <v>1</v>
      </c>
      <c r="D24" s="159" t="s">
        <v>139</v>
      </c>
      <c r="E24" s="160">
        <v>3</v>
      </c>
      <c r="F24" s="159" t="s">
        <v>139</v>
      </c>
      <c r="G24" s="161">
        <v>4</v>
      </c>
      <c r="H24" s="141" t="s">
        <v>139</v>
      </c>
      <c r="I24" s="161">
        <v>0.75</v>
      </c>
      <c r="J24" s="141" t="s">
        <v>139</v>
      </c>
      <c r="K24" s="161">
        <v>8</v>
      </c>
      <c r="L24" s="162"/>
      <c r="M24" s="161"/>
      <c r="N24" s="141" t="s">
        <v>140</v>
      </c>
      <c r="O24" s="163">
        <f t="shared" si="0"/>
        <v>72</v>
      </c>
      <c r="P24" s="150" t="s">
        <v>141</v>
      </c>
      <c r="Q24" s="144"/>
    </row>
    <row r="25" spans="1:17" ht="17.100000000000001" customHeight="1" thickBot="1">
      <c r="A25" s="155"/>
      <c r="B25" s="147"/>
      <c r="C25" s="158"/>
      <c r="D25" s="159"/>
      <c r="E25" s="160"/>
      <c r="F25" s="159"/>
      <c r="G25" s="161"/>
      <c r="H25" s="141"/>
      <c r="I25" s="161"/>
      <c r="J25" s="141"/>
      <c r="K25" s="161"/>
      <c r="L25" s="162"/>
      <c r="M25" s="161"/>
      <c r="N25" s="141"/>
      <c r="O25" s="152">
        <f>SUM(O18:O24)</f>
        <v>6677.8943999999992</v>
      </c>
      <c r="P25" s="167" t="s">
        <v>141</v>
      </c>
      <c r="Q25" s="144"/>
    </row>
    <row r="26" spans="1:17" ht="17.100000000000001" customHeight="1">
      <c r="A26" s="155"/>
      <c r="B26" s="341" t="s">
        <v>288</v>
      </c>
      <c r="C26" s="158"/>
      <c r="D26" s="159"/>
      <c r="E26" s="160"/>
      <c r="F26" s="159"/>
      <c r="G26" s="161"/>
      <c r="H26" s="141"/>
      <c r="I26" s="161"/>
      <c r="J26" s="141"/>
      <c r="K26" s="161"/>
      <c r="L26" s="162"/>
      <c r="M26" s="161"/>
      <c r="N26" s="141"/>
      <c r="O26" s="163"/>
      <c r="P26" s="150"/>
      <c r="Q26" s="144"/>
    </row>
    <row r="27" spans="1:17" ht="17.100000000000001" customHeight="1">
      <c r="A27" s="155"/>
      <c r="B27" s="147" t="s">
        <v>289</v>
      </c>
      <c r="C27" s="158">
        <v>1</v>
      </c>
      <c r="D27" s="159" t="s">
        <v>139</v>
      </c>
      <c r="E27" s="160">
        <v>5</v>
      </c>
      <c r="F27" s="159" t="s">
        <v>139</v>
      </c>
      <c r="G27" s="161">
        <v>4</v>
      </c>
      <c r="H27" s="141" t="s">
        <v>139</v>
      </c>
      <c r="I27" s="161">
        <v>1.1299999999999999</v>
      </c>
      <c r="J27" s="141" t="s">
        <v>139</v>
      </c>
      <c r="K27" s="161">
        <v>7</v>
      </c>
      <c r="L27" s="162"/>
      <c r="M27" s="161"/>
      <c r="N27" s="141" t="s">
        <v>140</v>
      </c>
      <c r="O27" s="163">
        <f t="shared" ref="O27:O32" si="1">C27*E27*G27*I27*K27</f>
        <v>158.19999999999999</v>
      </c>
      <c r="P27" s="150" t="s">
        <v>141</v>
      </c>
      <c r="Q27" s="144"/>
    </row>
    <row r="28" spans="1:17" ht="17.100000000000001" customHeight="1">
      <c r="A28" s="155"/>
      <c r="B28" s="147" t="s">
        <v>142</v>
      </c>
      <c r="C28" s="158">
        <v>5</v>
      </c>
      <c r="D28" s="159" t="s">
        <v>139</v>
      </c>
      <c r="E28" s="160">
        <v>3</v>
      </c>
      <c r="F28" s="159" t="s">
        <v>139</v>
      </c>
      <c r="G28" s="161">
        <v>4</v>
      </c>
      <c r="H28" s="141" t="s">
        <v>139</v>
      </c>
      <c r="I28" s="161">
        <v>1.1299999999999999</v>
      </c>
      <c r="J28" s="141" t="s">
        <v>139</v>
      </c>
      <c r="K28" s="161">
        <v>4</v>
      </c>
      <c r="L28" s="162"/>
      <c r="M28" s="161"/>
      <c r="N28" s="141" t="s">
        <v>140</v>
      </c>
      <c r="O28" s="163">
        <f t="shared" si="1"/>
        <v>271.2</v>
      </c>
      <c r="P28" s="150" t="s">
        <v>141</v>
      </c>
      <c r="Q28" s="144"/>
    </row>
    <row r="29" spans="1:17" ht="17.100000000000001" customHeight="1">
      <c r="A29" s="155"/>
      <c r="B29" s="147" t="s">
        <v>290</v>
      </c>
      <c r="C29" s="158">
        <v>1</v>
      </c>
      <c r="D29" s="159" t="s">
        <v>139</v>
      </c>
      <c r="E29" s="160">
        <v>5</v>
      </c>
      <c r="F29" s="159" t="s">
        <v>139</v>
      </c>
      <c r="G29" s="161">
        <v>8</v>
      </c>
      <c r="H29" s="141" t="s">
        <v>139</v>
      </c>
      <c r="I29" s="161">
        <v>1.1299999999999999</v>
      </c>
      <c r="J29" s="141" t="s">
        <v>139</v>
      </c>
      <c r="K29" s="161">
        <v>8</v>
      </c>
      <c r="L29" s="162"/>
      <c r="M29" s="161"/>
      <c r="N29" s="141" t="s">
        <v>140</v>
      </c>
      <c r="O29" s="163">
        <f t="shared" si="1"/>
        <v>361.59999999999997</v>
      </c>
      <c r="P29" s="150" t="s">
        <v>141</v>
      </c>
      <c r="Q29" s="144"/>
    </row>
    <row r="30" spans="1:17" ht="17.100000000000001" customHeight="1">
      <c r="A30" s="155"/>
      <c r="B30" s="147" t="s">
        <v>291</v>
      </c>
      <c r="C30" s="158">
        <v>1</v>
      </c>
      <c r="D30" s="159" t="s">
        <v>139</v>
      </c>
      <c r="E30" s="160">
        <v>2</v>
      </c>
      <c r="F30" s="159" t="s">
        <v>139</v>
      </c>
      <c r="G30" s="161">
        <v>4.5</v>
      </c>
      <c r="H30" s="141" t="s">
        <v>139</v>
      </c>
      <c r="I30" s="161">
        <v>1.1299999999999999</v>
      </c>
      <c r="J30" s="141" t="s">
        <v>139</v>
      </c>
      <c r="K30" s="161">
        <v>8</v>
      </c>
      <c r="L30" s="162"/>
      <c r="M30" s="161"/>
      <c r="N30" s="141" t="s">
        <v>140</v>
      </c>
      <c r="O30" s="163">
        <f t="shared" si="1"/>
        <v>81.359999999999985</v>
      </c>
      <c r="P30" s="150" t="s">
        <v>141</v>
      </c>
      <c r="Q30" s="144"/>
    </row>
    <row r="31" spans="1:17" ht="17.100000000000001" customHeight="1">
      <c r="A31" s="155"/>
      <c r="B31" s="147" t="s">
        <v>172</v>
      </c>
      <c r="C31" s="158">
        <v>1</v>
      </c>
      <c r="D31" s="159" t="s">
        <v>139</v>
      </c>
      <c r="E31" s="160">
        <v>2</v>
      </c>
      <c r="F31" s="159" t="s">
        <v>139</v>
      </c>
      <c r="G31" s="161">
        <v>2.5</v>
      </c>
      <c r="H31" s="141" t="s">
        <v>139</v>
      </c>
      <c r="I31" s="161">
        <v>0.75</v>
      </c>
      <c r="J31" s="141" t="s">
        <v>139</v>
      </c>
      <c r="K31" s="161">
        <v>7</v>
      </c>
      <c r="L31" s="162"/>
      <c r="M31" s="161"/>
      <c r="N31" s="141" t="s">
        <v>140</v>
      </c>
      <c r="O31" s="163">
        <f t="shared" si="1"/>
        <v>26.25</v>
      </c>
      <c r="P31" s="150" t="s">
        <v>141</v>
      </c>
      <c r="Q31" s="144"/>
    </row>
    <row r="32" spans="1:17" ht="17.100000000000001" customHeight="1">
      <c r="A32" s="155"/>
      <c r="B32" s="147" t="s">
        <v>292</v>
      </c>
      <c r="C32" s="158">
        <v>1</v>
      </c>
      <c r="D32" s="159" t="s">
        <v>139</v>
      </c>
      <c r="E32" s="160">
        <v>1</v>
      </c>
      <c r="F32" s="159" t="s">
        <v>139</v>
      </c>
      <c r="G32" s="161">
        <v>10</v>
      </c>
      <c r="H32" s="141" t="s">
        <v>139</v>
      </c>
      <c r="I32" s="161">
        <v>0.37</v>
      </c>
      <c r="J32" s="141" t="s">
        <v>139</v>
      </c>
      <c r="K32" s="161">
        <v>6</v>
      </c>
      <c r="L32" s="162"/>
      <c r="M32" s="161"/>
      <c r="N32" s="141" t="s">
        <v>140</v>
      </c>
      <c r="O32" s="163">
        <f t="shared" si="1"/>
        <v>22.200000000000003</v>
      </c>
      <c r="P32" s="150" t="s">
        <v>141</v>
      </c>
      <c r="Q32" s="144"/>
    </row>
    <row r="33" spans="1:17" ht="17.100000000000001" customHeight="1" thickBot="1">
      <c r="A33" s="155"/>
      <c r="B33" s="147"/>
      <c r="C33" s="158"/>
      <c r="D33" s="159"/>
      <c r="E33" s="160"/>
      <c r="F33" s="159"/>
      <c r="G33" s="161"/>
      <c r="H33" s="141"/>
      <c r="I33" s="161"/>
      <c r="J33" s="141"/>
      <c r="K33" s="161"/>
      <c r="L33" s="162"/>
      <c r="M33" s="161"/>
      <c r="N33" s="141"/>
      <c r="O33" s="152">
        <f>SUM(O27:O32)</f>
        <v>920.81000000000006</v>
      </c>
      <c r="P33" s="167" t="s">
        <v>141</v>
      </c>
      <c r="Q33" s="144"/>
    </row>
    <row r="34" spans="1:17" ht="17.100000000000001" customHeight="1">
      <c r="A34" s="155"/>
      <c r="B34" s="147"/>
      <c r="C34" s="158"/>
      <c r="D34" s="159"/>
      <c r="E34" s="160"/>
      <c r="F34" s="159"/>
      <c r="G34" s="161"/>
      <c r="H34" s="141"/>
      <c r="I34" s="161"/>
      <c r="J34" s="141"/>
      <c r="K34" s="161"/>
      <c r="L34" s="162"/>
      <c r="M34" s="161"/>
      <c r="N34" s="141"/>
      <c r="O34" s="163"/>
      <c r="P34" s="150"/>
      <c r="Q34" s="144"/>
    </row>
    <row r="35" spans="1:17" ht="17.100000000000001" customHeight="1" thickBot="1">
      <c r="A35" s="164"/>
      <c r="B35" s="144" t="s">
        <v>293</v>
      </c>
      <c r="C35" s="159"/>
      <c r="D35" s="159"/>
      <c r="E35" s="165"/>
      <c r="F35" s="141"/>
      <c r="G35" s="342">
        <f>O25</f>
        <v>6677.8943999999992</v>
      </c>
      <c r="H35" s="141"/>
      <c r="I35" s="161" t="s">
        <v>294</v>
      </c>
      <c r="J35" s="141"/>
      <c r="K35" s="343">
        <f>O33</f>
        <v>920.81000000000006</v>
      </c>
      <c r="L35" s="166"/>
      <c r="M35" s="166"/>
      <c r="N35" s="153"/>
      <c r="O35" s="152">
        <f>G35-K35</f>
        <v>5757.0843999999988</v>
      </c>
      <c r="P35" s="167" t="s">
        <v>141</v>
      </c>
      <c r="Q35" s="144"/>
    </row>
    <row r="36" spans="1:17" ht="17.100000000000001" customHeight="1">
      <c r="A36" s="139"/>
      <c r="B36" s="139"/>
      <c r="C36" s="139"/>
      <c r="D36" s="139"/>
      <c r="E36" s="139"/>
      <c r="F36" s="139"/>
      <c r="G36" s="139"/>
      <c r="H36" s="139"/>
      <c r="I36" s="139"/>
      <c r="J36" s="139"/>
      <c r="K36" s="154"/>
      <c r="L36" s="154"/>
      <c r="M36" s="154"/>
      <c r="N36" s="154"/>
      <c r="O36" s="139"/>
      <c r="P36" s="139"/>
      <c r="Q36" s="139"/>
    </row>
    <row r="37" spans="1:17" ht="17.100000000000001" customHeight="1">
      <c r="A37" s="168" t="s">
        <v>146</v>
      </c>
      <c r="B37" s="471" t="s">
        <v>147</v>
      </c>
      <c r="C37" s="471"/>
      <c r="D37" s="471"/>
      <c r="E37" s="471"/>
      <c r="F37" s="471"/>
      <c r="G37" s="471"/>
      <c r="H37" s="471"/>
      <c r="I37" s="471"/>
      <c r="J37" s="471"/>
      <c r="K37" s="471"/>
      <c r="L37" s="471"/>
      <c r="M37" s="471"/>
      <c r="N37" s="471"/>
      <c r="O37" s="169"/>
      <c r="P37" s="169"/>
      <c r="Q37" s="169"/>
    </row>
    <row r="38" spans="1:17" ht="17.100000000000001" customHeight="1">
      <c r="A38" s="168"/>
      <c r="B38" s="471"/>
      <c r="C38" s="471"/>
      <c r="D38" s="471"/>
      <c r="E38" s="471"/>
      <c r="F38" s="471"/>
      <c r="G38" s="471"/>
      <c r="H38" s="471"/>
      <c r="I38" s="471"/>
      <c r="J38" s="471"/>
      <c r="K38" s="471"/>
      <c r="L38" s="471"/>
      <c r="M38" s="471"/>
      <c r="N38" s="471"/>
      <c r="O38" s="169"/>
      <c r="P38" s="169"/>
      <c r="Q38" s="169"/>
    </row>
    <row r="39" spans="1:17" ht="17.100000000000001" customHeight="1">
      <c r="A39" s="168"/>
      <c r="B39" s="170"/>
      <c r="C39" s="170"/>
      <c r="D39" s="170"/>
      <c r="E39" s="170"/>
      <c r="F39" s="170"/>
      <c r="G39" s="170"/>
      <c r="H39" s="170"/>
      <c r="I39" s="170"/>
      <c r="J39" s="170"/>
      <c r="K39" s="170"/>
      <c r="L39" s="170"/>
      <c r="M39" s="170"/>
      <c r="N39" s="170"/>
      <c r="O39" s="169"/>
      <c r="P39" s="169"/>
      <c r="Q39" s="169"/>
    </row>
    <row r="40" spans="1:17" ht="17.100000000000001" customHeight="1">
      <c r="A40" s="169"/>
      <c r="B40" s="171" t="s">
        <v>148</v>
      </c>
      <c r="C40" s="172">
        <v>1</v>
      </c>
      <c r="D40" s="173" t="s">
        <v>139</v>
      </c>
      <c r="E40" s="173">
        <v>3</v>
      </c>
      <c r="F40" s="173" t="s">
        <v>139</v>
      </c>
      <c r="G40" s="174">
        <v>94</v>
      </c>
      <c r="H40" s="173" t="s">
        <v>139</v>
      </c>
      <c r="I40" s="175">
        <v>1.5</v>
      </c>
      <c r="J40" s="176" t="s">
        <v>139</v>
      </c>
      <c r="K40" s="177">
        <v>3.5</v>
      </c>
      <c r="L40" s="176"/>
      <c r="M40" s="169" t="s">
        <v>14</v>
      </c>
      <c r="N40" s="176" t="s">
        <v>140</v>
      </c>
      <c r="O40" s="178">
        <f>C40*E40*G40*I40*K40</f>
        <v>1480.5</v>
      </c>
      <c r="P40" s="179" t="s">
        <v>141</v>
      </c>
      <c r="Q40" s="169"/>
    </row>
    <row r="41" spans="1:17" ht="17.100000000000001" customHeight="1">
      <c r="A41" s="169"/>
      <c r="B41" s="171" t="s">
        <v>149</v>
      </c>
      <c r="C41" s="172">
        <v>1</v>
      </c>
      <c r="D41" s="173" t="s">
        <v>139</v>
      </c>
      <c r="E41" s="173">
        <v>6</v>
      </c>
      <c r="F41" s="173" t="s">
        <v>139</v>
      </c>
      <c r="G41" s="174">
        <v>15.63</v>
      </c>
      <c r="H41" s="173" t="s">
        <v>139</v>
      </c>
      <c r="I41" s="175">
        <v>1.5</v>
      </c>
      <c r="J41" s="176" t="s">
        <v>139</v>
      </c>
      <c r="K41" s="177">
        <v>3.5</v>
      </c>
      <c r="L41" s="176"/>
      <c r="M41" s="169" t="s">
        <v>14</v>
      </c>
      <c r="N41" s="176" t="s">
        <v>140</v>
      </c>
      <c r="O41" s="178">
        <f>C41*E41*G41*I41*K41</f>
        <v>492.34500000000003</v>
      </c>
      <c r="P41" s="179" t="s">
        <v>141</v>
      </c>
      <c r="Q41" s="169"/>
    </row>
    <row r="42" spans="1:17" ht="17.100000000000001" customHeight="1">
      <c r="A42" s="169"/>
      <c r="B42" s="171" t="s">
        <v>149</v>
      </c>
      <c r="C42" s="172">
        <v>1</v>
      </c>
      <c r="D42" s="173" t="s">
        <v>139</v>
      </c>
      <c r="E42" s="173">
        <v>2</v>
      </c>
      <c r="F42" s="173" t="s">
        <v>139</v>
      </c>
      <c r="G42" s="174">
        <v>5.63</v>
      </c>
      <c r="H42" s="173" t="s">
        <v>139</v>
      </c>
      <c r="I42" s="175">
        <v>1.5</v>
      </c>
      <c r="J42" s="176" t="s">
        <v>139</v>
      </c>
      <c r="K42" s="177">
        <v>3.5</v>
      </c>
      <c r="L42" s="176"/>
      <c r="M42" s="169" t="s">
        <v>14</v>
      </c>
      <c r="N42" s="176" t="s">
        <v>140</v>
      </c>
      <c r="O42" s="178">
        <f>C42*E42*G42*I42*K42</f>
        <v>59.115000000000002</v>
      </c>
      <c r="P42" s="179" t="s">
        <v>141</v>
      </c>
      <c r="Q42" s="169"/>
    </row>
    <row r="43" spans="1:17" ht="17.100000000000001" customHeight="1">
      <c r="A43" s="169"/>
      <c r="B43" s="171" t="s">
        <v>149</v>
      </c>
      <c r="C43" s="172">
        <v>1</v>
      </c>
      <c r="D43" s="176" t="s">
        <v>139</v>
      </c>
      <c r="E43" s="177">
        <v>4</v>
      </c>
      <c r="F43" s="176" t="s">
        <v>139</v>
      </c>
      <c r="G43" s="177">
        <v>10</v>
      </c>
      <c r="H43" s="176" t="s">
        <v>139</v>
      </c>
      <c r="I43" s="175">
        <v>1.5</v>
      </c>
      <c r="J43" s="176" t="s">
        <v>139</v>
      </c>
      <c r="K43" s="177">
        <v>0.5</v>
      </c>
      <c r="L43" s="169"/>
      <c r="M43" s="169"/>
      <c r="N43" s="139" t="s">
        <v>140</v>
      </c>
      <c r="O43" s="178">
        <f>C43*E43*G43*I43*K43</f>
        <v>30</v>
      </c>
      <c r="P43" s="180" t="s">
        <v>141</v>
      </c>
      <c r="Q43" s="169"/>
    </row>
    <row r="44" spans="1:17" ht="17.100000000000001" customHeight="1" thickBot="1">
      <c r="A44" s="169"/>
      <c r="B44" s="169"/>
      <c r="C44" s="169"/>
      <c r="D44" s="169"/>
      <c r="E44" s="169"/>
      <c r="F44" s="169"/>
      <c r="G44" s="169" t="s">
        <v>14</v>
      </c>
      <c r="H44" s="169"/>
      <c r="I44" s="169"/>
      <c r="J44" s="169"/>
      <c r="K44" s="169"/>
      <c r="L44" s="169"/>
      <c r="M44" s="169"/>
      <c r="N44" s="169"/>
      <c r="O44" s="181">
        <f>SUM(O40:O43)</f>
        <v>2061.96</v>
      </c>
      <c r="P44" s="182" t="s">
        <v>141</v>
      </c>
      <c r="Q44" s="169"/>
    </row>
    <row r="45" spans="1:17" ht="17.100000000000001" customHeight="1">
      <c r="A45" s="169"/>
      <c r="B45" s="169"/>
      <c r="C45" s="169"/>
      <c r="D45" s="169" t="s">
        <v>14</v>
      </c>
      <c r="E45" s="169"/>
      <c r="F45" s="169"/>
      <c r="G45" s="169"/>
      <c r="H45" s="169"/>
      <c r="I45" s="169"/>
      <c r="J45" s="169"/>
      <c r="K45" s="169"/>
      <c r="L45" s="169"/>
      <c r="M45" s="169"/>
      <c r="N45" s="169"/>
      <c r="O45" s="169"/>
      <c r="P45" s="169"/>
      <c r="Q45" s="169"/>
    </row>
    <row r="46" spans="1:17" ht="17.100000000000001" customHeight="1">
      <c r="A46" s="168" t="s">
        <v>150</v>
      </c>
      <c r="B46" s="467" t="s">
        <v>151</v>
      </c>
      <c r="C46" s="467"/>
      <c r="D46" s="467"/>
      <c r="E46" s="467"/>
      <c r="F46" s="467"/>
      <c r="G46" s="467"/>
      <c r="H46" s="467"/>
      <c r="I46" s="467"/>
      <c r="J46" s="467"/>
      <c r="K46" s="467"/>
      <c r="L46" s="467"/>
      <c r="M46" s="467"/>
      <c r="N46" s="467"/>
      <c r="O46" s="169"/>
      <c r="P46" s="169"/>
      <c r="Q46" s="169"/>
    </row>
    <row r="47" spans="1:17" ht="17.100000000000001" customHeight="1">
      <c r="A47" s="168"/>
      <c r="B47" s="183"/>
      <c r="C47" s="183"/>
      <c r="D47" s="183"/>
      <c r="E47" s="183"/>
      <c r="F47" s="183"/>
      <c r="G47" s="183"/>
      <c r="H47" s="183"/>
      <c r="I47" s="183"/>
      <c r="J47" s="183"/>
      <c r="K47" s="183"/>
      <c r="L47" s="183"/>
      <c r="M47" s="183"/>
      <c r="N47" s="183"/>
      <c r="O47" s="169"/>
      <c r="P47" s="169"/>
      <c r="Q47" s="169"/>
    </row>
    <row r="48" spans="1:17" ht="17.100000000000001" customHeight="1">
      <c r="A48" s="169"/>
      <c r="B48" s="184" t="s">
        <v>295</v>
      </c>
      <c r="C48" s="172">
        <v>1</v>
      </c>
      <c r="D48" s="172" t="s">
        <v>139</v>
      </c>
      <c r="E48" s="185">
        <v>5</v>
      </c>
      <c r="F48" s="172" t="s">
        <v>139</v>
      </c>
      <c r="G48" s="174">
        <v>17.670000000000002</v>
      </c>
      <c r="H48" s="172" t="s">
        <v>139</v>
      </c>
      <c r="I48" s="186">
        <v>15.67</v>
      </c>
      <c r="J48" s="176" t="s">
        <v>139</v>
      </c>
      <c r="K48" s="186">
        <v>0.42</v>
      </c>
      <c r="L48" s="176"/>
      <c r="M48" s="169" t="s">
        <v>14</v>
      </c>
      <c r="N48" s="176" t="s">
        <v>140</v>
      </c>
      <c r="O48" s="178">
        <f>C48*E48*G48*I48*K48</f>
        <v>581.46668999999997</v>
      </c>
      <c r="P48" s="179" t="s">
        <v>141</v>
      </c>
      <c r="Q48" s="169"/>
    </row>
    <row r="49" spans="1:17" ht="17.100000000000001" customHeight="1">
      <c r="A49" s="169"/>
      <c r="B49" s="184" t="s">
        <v>176</v>
      </c>
      <c r="C49" s="172">
        <v>1</v>
      </c>
      <c r="D49" s="172" t="s">
        <v>139</v>
      </c>
      <c r="E49" s="185">
        <v>1</v>
      </c>
      <c r="F49" s="172" t="s">
        <v>139</v>
      </c>
      <c r="G49" s="174">
        <v>93.83</v>
      </c>
      <c r="H49" s="172" t="s">
        <v>139</v>
      </c>
      <c r="I49" s="186">
        <v>5.67</v>
      </c>
      <c r="J49" s="176" t="s">
        <v>139</v>
      </c>
      <c r="K49" s="186">
        <v>0.42</v>
      </c>
      <c r="L49" s="176"/>
      <c r="M49" s="169" t="s">
        <v>14</v>
      </c>
      <c r="N49" s="176" t="s">
        <v>140</v>
      </c>
      <c r="O49" s="178">
        <f>C49*E49*G49*I49*K49</f>
        <v>223.44676199999998</v>
      </c>
      <c r="P49" s="179" t="s">
        <v>141</v>
      </c>
      <c r="Q49" s="169"/>
    </row>
    <row r="50" spans="1:17" ht="17.100000000000001" customHeight="1">
      <c r="A50" s="169"/>
      <c r="B50" s="171" t="s">
        <v>296</v>
      </c>
      <c r="C50" s="172">
        <v>1</v>
      </c>
      <c r="D50" s="173" t="s">
        <v>139</v>
      </c>
      <c r="E50" s="173">
        <v>1</v>
      </c>
      <c r="F50" s="173" t="s">
        <v>139</v>
      </c>
      <c r="G50" s="174">
        <v>125</v>
      </c>
      <c r="H50" s="173" t="s">
        <v>139</v>
      </c>
      <c r="I50" s="175">
        <v>60</v>
      </c>
      <c r="J50" s="176" t="s">
        <v>139</v>
      </c>
      <c r="K50" s="177">
        <v>0.5</v>
      </c>
      <c r="L50" s="176"/>
      <c r="M50" s="169" t="s">
        <v>14</v>
      </c>
      <c r="N50" s="176" t="s">
        <v>140</v>
      </c>
      <c r="O50" s="178">
        <f>C50*E50*G50*I50*K50</f>
        <v>3750</v>
      </c>
      <c r="P50" s="179" t="s">
        <v>141</v>
      </c>
      <c r="Q50" s="169"/>
    </row>
    <row r="51" spans="1:17" ht="17.100000000000001" customHeight="1">
      <c r="A51" s="169"/>
      <c r="B51" s="171" t="s">
        <v>296</v>
      </c>
      <c r="C51" s="172">
        <v>1</v>
      </c>
      <c r="D51" s="173" t="s">
        <v>139</v>
      </c>
      <c r="E51" s="173">
        <v>1</v>
      </c>
      <c r="F51" s="173" t="s">
        <v>139</v>
      </c>
      <c r="G51" s="174">
        <v>125</v>
      </c>
      <c r="H51" s="173" t="s">
        <v>139</v>
      </c>
      <c r="I51" s="175">
        <v>10</v>
      </c>
      <c r="J51" s="176" t="s">
        <v>139</v>
      </c>
      <c r="K51" s="177">
        <v>0.5</v>
      </c>
      <c r="L51" s="176"/>
      <c r="M51" s="169" t="s">
        <v>14</v>
      </c>
      <c r="N51" s="176" t="s">
        <v>140</v>
      </c>
      <c r="O51" s="178">
        <f>C51*E51*G51*I51*K51</f>
        <v>625</v>
      </c>
      <c r="P51" s="179" t="s">
        <v>141</v>
      </c>
      <c r="Q51" s="169"/>
    </row>
    <row r="52" spans="1:17" ht="17.100000000000001" customHeight="1">
      <c r="A52" s="169"/>
      <c r="B52" s="171" t="s">
        <v>296</v>
      </c>
      <c r="C52" s="172">
        <v>1</v>
      </c>
      <c r="D52" s="176" t="s">
        <v>139</v>
      </c>
      <c r="E52" s="177">
        <v>1</v>
      </c>
      <c r="F52" s="176" t="s">
        <v>139</v>
      </c>
      <c r="G52" s="177">
        <v>30</v>
      </c>
      <c r="H52" s="176" t="s">
        <v>139</v>
      </c>
      <c r="I52" s="176">
        <v>25</v>
      </c>
      <c r="J52" s="176" t="s">
        <v>139</v>
      </c>
      <c r="K52" s="177">
        <v>0.5</v>
      </c>
      <c r="L52" s="169"/>
      <c r="M52" s="169"/>
      <c r="N52" s="139" t="s">
        <v>140</v>
      </c>
      <c r="O52" s="178">
        <f>C52*E52*G52*I52*K52</f>
        <v>375</v>
      </c>
      <c r="P52" s="180" t="s">
        <v>141</v>
      </c>
      <c r="Q52" s="169"/>
    </row>
    <row r="53" spans="1:17" ht="17.100000000000001" customHeight="1" thickBot="1">
      <c r="A53" s="169"/>
      <c r="B53" s="169"/>
      <c r="C53" s="176"/>
      <c r="D53" s="176"/>
      <c r="E53" s="187"/>
      <c r="F53" s="176"/>
      <c r="G53" s="187"/>
      <c r="H53" s="176"/>
      <c r="I53" s="176"/>
      <c r="J53" s="169"/>
      <c r="K53" s="169"/>
      <c r="L53" s="169"/>
      <c r="M53" s="169"/>
      <c r="N53" s="169"/>
      <c r="O53" s="181">
        <f>SUM(O48:O52)</f>
        <v>5554.9134519999998</v>
      </c>
      <c r="P53" s="182" t="s">
        <v>141</v>
      </c>
      <c r="Q53" s="169"/>
    </row>
    <row r="54" spans="1:17" ht="17.100000000000001" customHeight="1">
      <c r="A54" s="169"/>
      <c r="B54" s="169"/>
      <c r="C54" s="176"/>
      <c r="D54" s="176"/>
      <c r="E54" s="187"/>
      <c r="F54" s="468"/>
      <c r="G54" s="468"/>
      <c r="H54" s="469"/>
      <c r="I54" s="469"/>
      <c r="J54" s="470"/>
      <c r="K54" s="470"/>
      <c r="L54" s="189"/>
      <c r="M54" s="133"/>
      <c r="N54" s="189"/>
      <c r="O54" s="474"/>
      <c r="P54" s="474"/>
      <c r="Q54" s="169"/>
    </row>
    <row r="55" spans="1:17" ht="17.100000000000001" customHeight="1">
      <c r="A55" s="168" t="s">
        <v>152</v>
      </c>
      <c r="B55" s="489" t="s">
        <v>153</v>
      </c>
      <c r="C55" s="489"/>
      <c r="D55" s="489"/>
      <c r="E55" s="489"/>
      <c r="F55" s="489"/>
      <c r="G55" s="489"/>
      <c r="H55" s="489"/>
      <c r="I55" s="489"/>
      <c r="J55" s="489"/>
      <c r="K55" s="489"/>
      <c r="L55" s="489"/>
      <c r="M55" s="489"/>
      <c r="N55" s="489"/>
      <c r="O55" s="169"/>
      <c r="P55" s="169"/>
      <c r="Q55" s="169"/>
    </row>
    <row r="56" spans="1:17" ht="17.100000000000001" customHeight="1">
      <c r="A56" s="168"/>
      <c r="B56" s="190"/>
      <c r="C56" s="190"/>
      <c r="D56" s="190"/>
      <c r="E56" s="190"/>
      <c r="F56" s="190"/>
      <c r="G56" s="190"/>
      <c r="H56" s="190"/>
      <c r="I56" s="190"/>
      <c r="J56" s="190"/>
      <c r="K56" s="190"/>
      <c r="L56" s="190"/>
      <c r="M56" s="190"/>
      <c r="N56" s="190"/>
      <c r="O56" s="169"/>
      <c r="P56" s="169"/>
      <c r="Q56" s="169"/>
    </row>
    <row r="57" spans="1:17" ht="17.100000000000001" customHeight="1">
      <c r="A57" s="169"/>
      <c r="B57" s="171" t="s">
        <v>297</v>
      </c>
      <c r="C57" s="172">
        <v>1</v>
      </c>
      <c r="D57" s="173" t="s">
        <v>139</v>
      </c>
      <c r="E57" s="173">
        <v>3</v>
      </c>
      <c r="F57" s="173" t="s">
        <v>139</v>
      </c>
      <c r="G57" s="174">
        <v>94</v>
      </c>
      <c r="H57" s="173" t="s">
        <v>139</v>
      </c>
      <c r="I57" s="175">
        <v>1.5</v>
      </c>
      <c r="J57" s="176" t="s">
        <v>139</v>
      </c>
      <c r="K57" s="177">
        <v>3.5</v>
      </c>
      <c r="L57" s="176"/>
      <c r="M57" s="169" t="s">
        <v>14</v>
      </c>
      <c r="N57" s="176" t="s">
        <v>140</v>
      </c>
      <c r="O57" s="178">
        <f>C57*E57*G57*I57*K57</f>
        <v>1480.5</v>
      </c>
      <c r="P57" s="179" t="s">
        <v>141</v>
      </c>
      <c r="Q57" s="169"/>
    </row>
    <row r="58" spans="1:17" ht="17.100000000000001" customHeight="1">
      <c r="A58" s="169"/>
      <c r="B58" s="171" t="s">
        <v>298</v>
      </c>
      <c r="C58" s="173">
        <v>1</v>
      </c>
      <c r="D58" s="173" t="s">
        <v>139</v>
      </c>
      <c r="E58" s="173">
        <v>6</v>
      </c>
      <c r="F58" s="173" t="s">
        <v>139</v>
      </c>
      <c r="G58" s="174">
        <v>15.63</v>
      </c>
      <c r="H58" s="173" t="s">
        <v>139</v>
      </c>
      <c r="I58" s="175">
        <v>1.5</v>
      </c>
      <c r="J58" s="176" t="s">
        <v>139</v>
      </c>
      <c r="K58" s="177">
        <v>3.5</v>
      </c>
      <c r="L58" s="176"/>
      <c r="M58" s="169" t="s">
        <v>14</v>
      </c>
      <c r="N58" s="176" t="s">
        <v>140</v>
      </c>
      <c r="O58" s="178">
        <f>C58*E58*G58*I58*K58</f>
        <v>492.34500000000003</v>
      </c>
      <c r="P58" s="179" t="s">
        <v>141</v>
      </c>
      <c r="Q58" s="169"/>
    </row>
    <row r="59" spans="1:17" ht="17.100000000000001" customHeight="1">
      <c r="A59" s="169"/>
      <c r="B59" s="171" t="s">
        <v>287</v>
      </c>
      <c r="C59" s="173">
        <v>1</v>
      </c>
      <c r="D59" s="173" t="s">
        <v>139</v>
      </c>
      <c r="E59" s="173">
        <v>2</v>
      </c>
      <c r="F59" s="173" t="s">
        <v>139</v>
      </c>
      <c r="G59" s="174">
        <v>5.63</v>
      </c>
      <c r="H59" s="173" t="s">
        <v>139</v>
      </c>
      <c r="I59" s="175">
        <v>1.5</v>
      </c>
      <c r="J59" s="176" t="s">
        <v>139</v>
      </c>
      <c r="K59" s="177">
        <v>3.5</v>
      </c>
      <c r="L59" s="176"/>
      <c r="M59" s="169" t="s">
        <v>14</v>
      </c>
      <c r="N59" s="176" t="s">
        <v>140</v>
      </c>
      <c r="O59" s="178">
        <f>C59*E59*G59*I59*K59</f>
        <v>59.115000000000002</v>
      </c>
      <c r="P59" s="179" t="s">
        <v>141</v>
      </c>
      <c r="Q59" s="169"/>
    </row>
    <row r="60" spans="1:17" ht="17.100000000000001" customHeight="1">
      <c r="A60" s="169"/>
      <c r="B60" s="171" t="s">
        <v>299</v>
      </c>
      <c r="C60" s="173">
        <v>1</v>
      </c>
      <c r="D60" s="173" t="s">
        <v>139</v>
      </c>
      <c r="E60" s="173">
        <v>4</v>
      </c>
      <c r="F60" s="173" t="s">
        <v>139</v>
      </c>
      <c r="G60" s="174">
        <v>10</v>
      </c>
      <c r="H60" s="173" t="s">
        <v>139</v>
      </c>
      <c r="I60" s="175">
        <v>1.5</v>
      </c>
      <c r="J60" s="176" t="s">
        <v>139</v>
      </c>
      <c r="K60" s="177">
        <v>0.5</v>
      </c>
      <c r="L60" s="176"/>
      <c r="M60" s="169" t="s">
        <v>14</v>
      </c>
      <c r="N60" s="176" t="s">
        <v>140</v>
      </c>
      <c r="O60" s="178">
        <f>C60*E60*G60*I60*K60</f>
        <v>30</v>
      </c>
      <c r="P60" s="179" t="s">
        <v>141</v>
      </c>
      <c r="Q60" s="169"/>
    </row>
    <row r="61" spans="1:17" ht="17.100000000000001" customHeight="1" thickBot="1">
      <c r="A61" s="169"/>
      <c r="B61" s="169"/>
      <c r="C61" s="169"/>
      <c r="D61" s="169"/>
      <c r="E61" s="169"/>
      <c r="F61" s="169"/>
      <c r="G61" s="169"/>
      <c r="H61" s="169"/>
      <c r="I61" s="169"/>
      <c r="J61" s="169"/>
      <c r="K61" s="169"/>
      <c r="L61" s="169"/>
      <c r="M61" s="169"/>
      <c r="N61" s="169"/>
      <c r="O61" s="181">
        <f>SUM(O57:O60)</f>
        <v>2061.96</v>
      </c>
      <c r="P61" s="191" t="s">
        <v>141</v>
      </c>
      <c r="Q61" s="169"/>
    </row>
    <row r="62" spans="1:17" ht="17.100000000000001" customHeight="1">
      <c r="A62" s="169"/>
      <c r="B62" s="169"/>
      <c r="C62" s="169"/>
      <c r="D62" s="169"/>
      <c r="E62" s="169"/>
      <c r="F62" s="468"/>
      <c r="G62" s="468"/>
      <c r="H62" s="469"/>
      <c r="I62" s="469"/>
      <c r="J62" s="470"/>
      <c r="K62" s="470"/>
      <c r="L62" s="189"/>
      <c r="M62" s="133"/>
      <c r="N62" s="189"/>
      <c r="O62" s="478"/>
      <c r="P62" s="478"/>
      <c r="Q62" s="169"/>
    </row>
    <row r="63" spans="1:17" ht="17.100000000000001" customHeight="1">
      <c r="A63" s="168" t="s">
        <v>154</v>
      </c>
      <c r="B63" s="490" t="s">
        <v>155</v>
      </c>
      <c r="C63" s="490"/>
      <c r="D63" s="490"/>
      <c r="E63" s="490"/>
      <c r="F63" s="490"/>
      <c r="G63" s="490"/>
      <c r="H63" s="490"/>
      <c r="I63" s="490"/>
      <c r="J63" s="490"/>
      <c r="K63" s="490"/>
      <c r="L63" s="490"/>
      <c r="M63" s="490"/>
      <c r="N63" s="169"/>
      <c r="O63" s="169"/>
      <c r="P63" s="169"/>
      <c r="Q63" s="169"/>
    </row>
    <row r="64" spans="1:17" ht="17.100000000000001" customHeight="1">
      <c r="A64" s="168"/>
      <c r="B64" s="490"/>
      <c r="C64" s="490"/>
      <c r="D64" s="490"/>
      <c r="E64" s="490"/>
      <c r="F64" s="490"/>
      <c r="G64" s="490"/>
      <c r="H64" s="490"/>
      <c r="I64" s="490"/>
      <c r="J64" s="490"/>
      <c r="K64" s="490"/>
      <c r="L64" s="490"/>
      <c r="M64" s="490"/>
      <c r="N64" s="169"/>
      <c r="O64" s="169"/>
      <c r="P64" s="169"/>
      <c r="Q64" s="169"/>
    </row>
    <row r="65" spans="1:17" ht="17.100000000000001" customHeight="1">
      <c r="A65" s="168"/>
      <c r="B65" s="490"/>
      <c r="C65" s="490"/>
      <c r="D65" s="490"/>
      <c r="E65" s="490"/>
      <c r="F65" s="490"/>
      <c r="G65" s="490"/>
      <c r="H65" s="490"/>
      <c r="I65" s="490"/>
      <c r="J65" s="490"/>
      <c r="K65" s="490"/>
      <c r="L65" s="490"/>
      <c r="M65" s="490"/>
      <c r="N65" s="169"/>
      <c r="O65" s="169"/>
      <c r="P65" s="169"/>
      <c r="Q65" s="169"/>
    </row>
    <row r="66" spans="1:17" ht="17.100000000000001" customHeight="1">
      <c r="A66" s="168"/>
      <c r="B66" s="490"/>
      <c r="C66" s="490"/>
      <c r="D66" s="490"/>
      <c r="E66" s="490"/>
      <c r="F66" s="490"/>
      <c r="G66" s="490"/>
      <c r="H66" s="490"/>
      <c r="I66" s="490"/>
      <c r="J66" s="490"/>
      <c r="K66" s="490"/>
      <c r="L66" s="490"/>
      <c r="M66" s="490"/>
      <c r="N66" s="169"/>
      <c r="O66" s="169"/>
      <c r="P66" s="169"/>
      <c r="Q66" s="169"/>
    </row>
    <row r="67" spans="1:17" ht="17.100000000000001" customHeight="1">
      <c r="A67" s="168"/>
      <c r="B67" s="490"/>
      <c r="C67" s="490"/>
      <c r="D67" s="490"/>
      <c r="E67" s="490"/>
      <c r="F67" s="490"/>
      <c r="G67" s="490"/>
      <c r="H67" s="490"/>
      <c r="I67" s="490"/>
      <c r="J67" s="490"/>
      <c r="K67" s="490"/>
      <c r="L67" s="490"/>
      <c r="M67" s="490"/>
      <c r="N67" s="169"/>
      <c r="O67" s="169"/>
      <c r="P67" s="169"/>
      <c r="Q67" s="169"/>
    </row>
    <row r="68" spans="1:17" ht="17.100000000000001" customHeight="1">
      <c r="A68" s="168"/>
      <c r="B68" s="192"/>
      <c r="C68" s="192"/>
      <c r="D68" s="192"/>
      <c r="E68" s="192"/>
      <c r="F68" s="192"/>
      <c r="G68" s="192"/>
      <c r="H68" s="192"/>
      <c r="I68" s="192"/>
      <c r="J68" s="192"/>
      <c r="K68" s="192"/>
      <c r="L68" s="192"/>
      <c r="M68" s="192"/>
      <c r="N68" s="169"/>
      <c r="O68" s="169"/>
      <c r="P68" s="169"/>
      <c r="Q68" s="169"/>
    </row>
    <row r="69" spans="1:17" ht="17.100000000000001" customHeight="1">
      <c r="A69" s="189"/>
      <c r="B69" s="169" t="s">
        <v>300</v>
      </c>
      <c r="C69" s="172">
        <v>1</v>
      </c>
      <c r="D69" s="172" t="s">
        <v>139</v>
      </c>
      <c r="E69" s="174">
        <v>3</v>
      </c>
      <c r="F69" s="172" t="s">
        <v>139</v>
      </c>
      <c r="G69" s="174">
        <v>94</v>
      </c>
      <c r="H69" s="172" t="s">
        <v>139</v>
      </c>
      <c r="I69" s="177">
        <v>1.5</v>
      </c>
      <c r="J69" s="172" t="s">
        <v>139</v>
      </c>
      <c r="K69" s="177">
        <v>1.5</v>
      </c>
      <c r="L69" s="176"/>
      <c r="N69" s="176" t="s">
        <v>140</v>
      </c>
      <c r="O69" s="188">
        <f>C69*E69*G69*I69*K69</f>
        <v>634.5</v>
      </c>
      <c r="P69" s="193" t="s">
        <v>157</v>
      </c>
    </row>
    <row r="70" spans="1:17" ht="17.100000000000001" customHeight="1">
      <c r="A70" s="189"/>
      <c r="B70" s="169" t="s">
        <v>301</v>
      </c>
      <c r="C70" s="172">
        <v>1</v>
      </c>
      <c r="D70" s="172" t="s">
        <v>139</v>
      </c>
      <c r="E70" s="174">
        <v>6</v>
      </c>
      <c r="F70" s="172" t="s">
        <v>139</v>
      </c>
      <c r="G70" s="174">
        <v>15.63</v>
      </c>
      <c r="H70" s="172" t="s">
        <v>139</v>
      </c>
      <c r="I70" s="177">
        <v>1.5</v>
      </c>
      <c r="J70" s="172" t="s">
        <v>139</v>
      </c>
      <c r="K70" s="177">
        <v>1.5</v>
      </c>
      <c r="L70" s="176"/>
      <c r="N70" s="176" t="s">
        <v>140</v>
      </c>
      <c r="O70" s="188">
        <f>C70*E70*G70*I70*K70</f>
        <v>211.00500000000002</v>
      </c>
      <c r="P70" s="193" t="s">
        <v>157</v>
      </c>
    </row>
    <row r="71" spans="1:17" ht="17.100000000000001" customHeight="1">
      <c r="A71" s="189"/>
      <c r="B71" s="169" t="s">
        <v>302</v>
      </c>
      <c r="C71" s="172">
        <v>1</v>
      </c>
      <c r="D71" s="172" t="s">
        <v>139</v>
      </c>
      <c r="E71" s="174">
        <v>2</v>
      </c>
      <c r="F71" s="172" t="s">
        <v>139</v>
      </c>
      <c r="G71" s="174">
        <v>5.63</v>
      </c>
      <c r="H71" s="172" t="s">
        <v>139</v>
      </c>
      <c r="I71" s="177">
        <v>1.5</v>
      </c>
      <c r="J71" s="172" t="s">
        <v>139</v>
      </c>
      <c r="K71" s="177">
        <v>1.5</v>
      </c>
      <c r="L71" s="176"/>
      <c r="N71" s="176" t="s">
        <v>140</v>
      </c>
      <c r="O71" s="188">
        <f t="shared" ref="O71:O77" si="2">C71*E71*G71*I71*K71</f>
        <v>25.335000000000001</v>
      </c>
      <c r="P71" s="193" t="s">
        <v>157</v>
      </c>
    </row>
    <row r="72" spans="1:17" ht="17.100000000000001" customHeight="1">
      <c r="A72" s="189"/>
      <c r="B72" s="169" t="s">
        <v>303</v>
      </c>
      <c r="C72" s="172">
        <v>1</v>
      </c>
      <c r="D72" s="172" t="s">
        <v>139</v>
      </c>
      <c r="E72" s="174">
        <v>3</v>
      </c>
      <c r="F72" s="172" t="s">
        <v>139</v>
      </c>
      <c r="G72" s="174">
        <v>96.83</v>
      </c>
      <c r="H72" s="172" t="s">
        <v>139</v>
      </c>
      <c r="I72" s="177">
        <v>1.1299999999999999</v>
      </c>
      <c r="J72" s="172" t="s">
        <v>139</v>
      </c>
      <c r="K72" s="177">
        <v>1.5</v>
      </c>
      <c r="L72" s="176"/>
      <c r="N72" s="176" t="s">
        <v>140</v>
      </c>
      <c r="O72" s="188">
        <f t="shared" si="2"/>
        <v>492.38054999999997</v>
      </c>
      <c r="P72" s="193" t="s">
        <v>157</v>
      </c>
    </row>
    <row r="73" spans="1:17" ht="17.100000000000001" customHeight="1">
      <c r="A73" s="189"/>
      <c r="B73" s="169" t="s">
        <v>304</v>
      </c>
      <c r="C73" s="172">
        <v>1</v>
      </c>
      <c r="D73" s="172" t="s">
        <v>139</v>
      </c>
      <c r="E73" s="174">
        <v>6</v>
      </c>
      <c r="F73" s="172" t="s">
        <v>139</v>
      </c>
      <c r="G73" s="174">
        <v>16</v>
      </c>
      <c r="H73" s="172" t="s">
        <v>139</v>
      </c>
      <c r="I73" s="177">
        <v>1.1299999999999999</v>
      </c>
      <c r="J73" s="172" t="s">
        <v>139</v>
      </c>
      <c r="K73" s="177">
        <v>1.5</v>
      </c>
      <c r="L73" s="176"/>
      <c r="N73" s="176" t="s">
        <v>140</v>
      </c>
      <c r="O73" s="188">
        <f t="shared" si="2"/>
        <v>162.71999999999997</v>
      </c>
      <c r="P73" s="193" t="s">
        <v>157</v>
      </c>
    </row>
    <row r="74" spans="1:17" ht="17.100000000000001" customHeight="1">
      <c r="A74" s="189"/>
      <c r="B74" s="169" t="s">
        <v>305</v>
      </c>
      <c r="C74" s="172">
        <v>1</v>
      </c>
      <c r="D74" s="172" t="s">
        <v>139</v>
      </c>
      <c r="E74" s="174">
        <v>2</v>
      </c>
      <c r="F74" s="172" t="s">
        <v>139</v>
      </c>
      <c r="G74" s="174">
        <v>6</v>
      </c>
      <c r="H74" s="172" t="s">
        <v>139</v>
      </c>
      <c r="I74" s="177">
        <v>1.1299999999999999</v>
      </c>
      <c r="J74" s="172" t="s">
        <v>139</v>
      </c>
      <c r="K74" s="177">
        <v>1.5</v>
      </c>
      <c r="L74" s="176"/>
      <c r="N74" s="176" t="s">
        <v>140</v>
      </c>
      <c r="O74" s="188">
        <f t="shared" si="2"/>
        <v>20.339999999999996</v>
      </c>
      <c r="P74" s="193" t="s">
        <v>157</v>
      </c>
    </row>
    <row r="75" spans="1:17" ht="17.100000000000001" customHeight="1">
      <c r="A75" s="189"/>
      <c r="B75" s="169" t="s">
        <v>138</v>
      </c>
      <c r="C75" s="172">
        <v>1</v>
      </c>
      <c r="D75" s="172" t="s">
        <v>139</v>
      </c>
      <c r="E75" s="174">
        <v>1</v>
      </c>
      <c r="F75" s="172" t="s">
        <v>139</v>
      </c>
      <c r="G75" s="174">
        <v>99.83</v>
      </c>
      <c r="H75" s="172" t="s">
        <v>139</v>
      </c>
      <c r="I75" s="177">
        <v>28.5</v>
      </c>
      <c r="J75" s="172" t="s">
        <v>139</v>
      </c>
      <c r="K75" s="177">
        <v>0.5</v>
      </c>
      <c r="L75" s="176"/>
      <c r="N75" s="176" t="s">
        <v>140</v>
      </c>
      <c r="O75" s="188">
        <f t="shared" si="2"/>
        <v>1422.5774999999999</v>
      </c>
      <c r="P75" s="193" t="s">
        <v>157</v>
      </c>
    </row>
    <row r="76" spans="1:17" ht="17.100000000000001" customHeight="1">
      <c r="A76" s="189"/>
      <c r="B76" s="169" t="s">
        <v>158</v>
      </c>
      <c r="C76" s="172">
        <v>1</v>
      </c>
      <c r="D76" s="172" t="s">
        <v>139</v>
      </c>
      <c r="E76" s="174">
        <v>5</v>
      </c>
      <c r="F76" s="172" t="s">
        <v>139</v>
      </c>
      <c r="G76" s="174">
        <v>18.25</v>
      </c>
      <c r="H76" s="172" t="s">
        <v>139</v>
      </c>
      <c r="I76" s="177">
        <v>1</v>
      </c>
      <c r="J76" s="172" t="s">
        <v>139</v>
      </c>
      <c r="K76" s="177">
        <v>1.75</v>
      </c>
      <c r="L76" s="176"/>
      <c r="N76" s="176" t="s">
        <v>140</v>
      </c>
      <c r="O76" s="188">
        <f t="shared" si="2"/>
        <v>159.6875</v>
      </c>
      <c r="P76" s="193" t="s">
        <v>157</v>
      </c>
    </row>
    <row r="77" spans="1:17" ht="17.100000000000001" customHeight="1">
      <c r="A77" s="189"/>
      <c r="B77" s="169" t="s">
        <v>306</v>
      </c>
      <c r="C77" s="172">
        <v>1</v>
      </c>
      <c r="D77" s="172" t="s">
        <v>139</v>
      </c>
      <c r="E77" s="174">
        <v>2</v>
      </c>
      <c r="F77" s="172" t="s">
        <v>139</v>
      </c>
      <c r="G77" s="174">
        <v>9</v>
      </c>
      <c r="H77" s="172" t="s">
        <v>139</v>
      </c>
      <c r="I77" s="177">
        <v>4</v>
      </c>
      <c r="J77" s="172" t="s">
        <v>139</v>
      </c>
      <c r="K77" s="177">
        <v>0.5</v>
      </c>
      <c r="L77" s="176"/>
      <c r="N77" s="176" t="s">
        <v>140</v>
      </c>
      <c r="O77" s="188">
        <f t="shared" si="2"/>
        <v>36</v>
      </c>
      <c r="P77" s="193" t="s">
        <v>157</v>
      </c>
    </row>
    <row r="78" spans="1:17" ht="17.100000000000001" customHeight="1" thickBot="1">
      <c r="A78" s="189"/>
      <c r="B78" s="194"/>
      <c r="C78" s="172"/>
      <c r="D78" s="172"/>
      <c r="E78" s="185"/>
      <c r="F78" s="172"/>
      <c r="G78" s="174"/>
      <c r="H78" s="172"/>
      <c r="I78" s="177"/>
      <c r="J78" s="176"/>
      <c r="K78" s="177"/>
      <c r="L78" s="176"/>
      <c r="M78" s="169"/>
      <c r="N78" s="176"/>
      <c r="O78" s="195">
        <f>SUM(O69:O77)</f>
        <v>3164.5455499999998</v>
      </c>
      <c r="P78" s="196" t="s">
        <v>157</v>
      </c>
    </row>
    <row r="79" spans="1:17" ht="17.100000000000001" customHeight="1">
      <c r="A79" s="197"/>
      <c r="B79" s="169"/>
      <c r="C79" s="176"/>
      <c r="D79" s="176"/>
      <c r="E79" s="169"/>
      <c r="F79" s="169"/>
      <c r="G79" s="169"/>
      <c r="H79" s="169"/>
      <c r="I79" s="169"/>
      <c r="J79" s="169"/>
      <c r="K79" s="169"/>
      <c r="L79" s="169"/>
      <c r="M79" s="169"/>
      <c r="N79" s="176"/>
      <c r="O79" s="178"/>
      <c r="P79" s="180"/>
      <c r="Q79" s="169"/>
    </row>
    <row r="80" spans="1:17" ht="17.100000000000001" customHeight="1">
      <c r="A80" s="168" t="s">
        <v>159</v>
      </c>
      <c r="B80" s="479" t="s">
        <v>160</v>
      </c>
      <c r="C80" s="479"/>
      <c r="D80" s="479"/>
      <c r="E80" s="479"/>
      <c r="F80" s="479"/>
      <c r="G80" s="479"/>
      <c r="H80" s="479"/>
      <c r="I80" s="479"/>
      <c r="J80" s="479"/>
      <c r="K80" s="479"/>
      <c r="L80" s="479"/>
      <c r="M80" s="479"/>
      <c r="N80" s="198"/>
      <c r="O80" s="198"/>
      <c r="P80" s="198"/>
      <c r="Q80" s="169"/>
    </row>
    <row r="81" spans="1:17" ht="17.100000000000001" customHeight="1">
      <c r="A81" s="168"/>
      <c r="B81" s="479"/>
      <c r="C81" s="479"/>
      <c r="D81" s="479"/>
      <c r="E81" s="479"/>
      <c r="F81" s="479"/>
      <c r="G81" s="479"/>
      <c r="H81" s="479"/>
      <c r="I81" s="479"/>
      <c r="J81" s="479"/>
      <c r="K81" s="479"/>
      <c r="L81" s="479"/>
      <c r="M81" s="479"/>
      <c r="N81" s="198"/>
      <c r="O81" s="198"/>
      <c r="P81" s="198"/>
      <c r="Q81" s="169"/>
    </row>
    <row r="82" spans="1:17" ht="17.100000000000001" customHeight="1">
      <c r="A82" s="168"/>
      <c r="B82" s="479"/>
      <c r="C82" s="479"/>
      <c r="D82" s="479"/>
      <c r="E82" s="479"/>
      <c r="F82" s="479"/>
      <c r="G82" s="479"/>
      <c r="H82" s="479"/>
      <c r="I82" s="479"/>
      <c r="J82" s="479"/>
      <c r="K82" s="479"/>
      <c r="L82" s="479"/>
      <c r="M82" s="479"/>
      <c r="N82" s="198"/>
      <c r="O82" s="198"/>
      <c r="P82" s="198"/>
      <c r="Q82" s="169"/>
    </row>
    <row r="83" spans="1:17" ht="17.100000000000001" customHeight="1">
      <c r="A83" s="168"/>
      <c r="B83" s="194"/>
      <c r="C83" s="194"/>
      <c r="D83" s="194"/>
      <c r="E83" s="194"/>
      <c r="F83" s="194"/>
      <c r="G83" s="194"/>
      <c r="H83" s="194"/>
      <c r="I83" s="194"/>
      <c r="J83" s="194"/>
      <c r="K83" s="194"/>
      <c r="L83" s="194"/>
      <c r="M83" s="194"/>
      <c r="N83" s="198"/>
      <c r="O83" s="198"/>
      <c r="P83" s="198"/>
      <c r="Q83" s="169"/>
    </row>
    <row r="84" spans="1:17" ht="17.100000000000001" customHeight="1">
      <c r="A84" s="189" t="s">
        <v>161</v>
      </c>
      <c r="B84" s="169" t="s">
        <v>162</v>
      </c>
      <c r="C84" s="475" t="s">
        <v>163</v>
      </c>
      <c r="D84" s="475"/>
      <c r="E84" s="475"/>
      <c r="F84" s="199" t="s">
        <v>140</v>
      </c>
      <c r="G84" s="200">
        <f>O78</f>
        <v>3164.5455499999998</v>
      </c>
      <c r="H84" s="201" t="s">
        <v>139</v>
      </c>
      <c r="I84" s="202">
        <v>5.5</v>
      </c>
      <c r="J84" s="203" t="s">
        <v>140</v>
      </c>
      <c r="K84" s="177">
        <f>G84*I84/G85</f>
        <v>155.40179040178572</v>
      </c>
      <c r="L84" s="188"/>
      <c r="M84" s="204"/>
      <c r="N84" s="180" t="s">
        <v>140</v>
      </c>
      <c r="O84" s="205">
        <f>+K84</f>
        <v>155.40179040178572</v>
      </c>
      <c r="P84" s="206" t="s">
        <v>157</v>
      </c>
    </row>
    <row r="85" spans="1:17" ht="17.100000000000001" customHeight="1" thickBot="1">
      <c r="A85" s="189"/>
      <c r="B85" s="169"/>
      <c r="C85" s="476">
        <v>112</v>
      </c>
      <c r="D85" s="476"/>
      <c r="E85" s="476"/>
      <c r="F85" s="203"/>
      <c r="G85" s="476">
        <v>112</v>
      </c>
      <c r="H85" s="476"/>
      <c r="I85" s="476"/>
      <c r="J85" s="169"/>
      <c r="K85" s="169"/>
      <c r="L85" s="188"/>
      <c r="M85" s="204"/>
      <c r="N85" s="169"/>
      <c r="O85" s="207"/>
      <c r="P85" s="207"/>
    </row>
    <row r="86" spans="1:17" ht="17.100000000000001" customHeight="1">
      <c r="A86" s="189"/>
      <c r="B86" s="169"/>
      <c r="C86" s="176"/>
      <c r="D86" s="176"/>
      <c r="E86" s="176"/>
      <c r="F86" s="203"/>
      <c r="G86" s="185"/>
      <c r="H86" s="172"/>
      <c r="I86" s="174"/>
      <c r="J86" s="172"/>
      <c r="K86" s="177"/>
      <c r="L86" s="176"/>
      <c r="M86" s="177"/>
      <c r="N86" s="180" t="s">
        <v>140</v>
      </c>
      <c r="O86" s="208">
        <f>SUM(O84:O85)</f>
        <v>155.40179040178572</v>
      </c>
      <c r="P86" s="206" t="s">
        <v>157</v>
      </c>
    </row>
    <row r="87" spans="1:17" ht="17.100000000000001" customHeight="1">
      <c r="A87" s="189"/>
      <c r="B87" s="169"/>
      <c r="C87" s="176"/>
      <c r="D87" s="176"/>
      <c r="E87" s="176"/>
      <c r="F87" s="468"/>
      <c r="G87" s="468"/>
      <c r="H87" s="469"/>
      <c r="I87" s="469"/>
      <c r="J87" s="470"/>
      <c r="K87" s="470"/>
      <c r="L87" s="477"/>
      <c r="M87" s="477"/>
      <c r="N87" s="189"/>
      <c r="O87" s="474"/>
      <c r="P87" s="474"/>
      <c r="Q87" s="209"/>
    </row>
    <row r="88" spans="1:17" ht="17.100000000000001" customHeight="1">
      <c r="A88" s="168" t="s">
        <v>164</v>
      </c>
      <c r="B88" s="479" t="s">
        <v>166</v>
      </c>
      <c r="C88" s="479"/>
      <c r="D88" s="479"/>
      <c r="E88" s="479"/>
      <c r="F88" s="479"/>
      <c r="G88" s="479"/>
      <c r="H88" s="479"/>
      <c r="I88" s="479"/>
      <c r="J88" s="479"/>
      <c r="K88" s="479"/>
      <c r="L88" s="479"/>
      <c r="M88" s="479"/>
      <c r="P88" s="131" t="s">
        <v>14</v>
      </c>
    </row>
    <row r="89" spans="1:17" ht="17.100000000000001" customHeight="1">
      <c r="A89" s="168"/>
      <c r="B89" s="479"/>
      <c r="C89" s="479"/>
      <c r="D89" s="479"/>
      <c r="E89" s="479"/>
      <c r="F89" s="479"/>
      <c r="G89" s="479"/>
      <c r="H89" s="479"/>
      <c r="I89" s="479"/>
      <c r="J89" s="479"/>
      <c r="K89" s="479"/>
      <c r="L89" s="479"/>
      <c r="M89" s="479"/>
    </row>
    <row r="90" spans="1:17" ht="17.100000000000001" customHeight="1">
      <c r="A90" s="168"/>
      <c r="B90" s="194"/>
      <c r="C90" s="194"/>
      <c r="D90" s="194"/>
      <c r="E90" s="194"/>
      <c r="F90" s="194"/>
      <c r="G90" s="194"/>
      <c r="H90" s="194"/>
      <c r="I90" s="194"/>
      <c r="J90" s="194"/>
      <c r="K90" s="194"/>
      <c r="L90" s="194"/>
      <c r="M90" s="194"/>
    </row>
    <row r="91" spans="1:17" ht="17.100000000000001" customHeight="1">
      <c r="B91" s="169" t="s">
        <v>308</v>
      </c>
      <c r="C91" s="172">
        <v>5</v>
      </c>
      <c r="D91" s="172" t="s">
        <v>139</v>
      </c>
      <c r="E91" s="174">
        <v>17.670000000000002</v>
      </c>
      <c r="F91" s="172" t="s">
        <v>139</v>
      </c>
      <c r="G91" s="174">
        <v>15.67</v>
      </c>
      <c r="H91" s="172" t="s">
        <v>139</v>
      </c>
      <c r="I91" s="177">
        <v>3</v>
      </c>
      <c r="J91" s="176"/>
      <c r="K91" s="187"/>
      <c r="L91" s="176"/>
      <c r="M91" s="169" t="s">
        <v>14</v>
      </c>
      <c r="N91" s="176" t="s">
        <v>140</v>
      </c>
      <c r="O91" s="178">
        <f t="shared" ref="O91:O95" si="3">C91*E91*G91*I91</f>
        <v>4153.3335000000006</v>
      </c>
      <c r="P91" s="180" t="s">
        <v>141</v>
      </c>
    </row>
    <row r="92" spans="1:17" ht="17.100000000000001" customHeight="1">
      <c r="B92" s="169" t="s">
        <v>176</v>
      </c>
      <c r="C92" s="172">
        <v>1</v>
      </c>
      <c r="D92" s="172" t="s">
        <v>139</v>
      </c>
      <c r="E92" s="174">
        <v>93.83</v>
      </c>
      <c r="F92" s="172" t="s">
        <v>139</v>
      </c>
      <c r="G92" s="174">
        <v>5.67</v>
      </c>
      <c r="H92" s="172" t="s">
        <v>139</v>
      </c>
      <c r="I92" s="177">
        <v>3</v>
      </c>
      <c r="J92" s="172"/>
      <c r="K92" s="177"/>
      <c r="L92" s="176"/>
      <c r="M92" s="169" t="s">
        <v>14</v>
      </c>
      <c r="N92" s="176" t="s">
        <v>140</v>
      </c>
      <c r="O92" s="178">
        <f t="shared" si="3"/>
        <v>1596.0482999999999</v>
      </c>
      <c r="P92" s="180" t="s">
        <v>141</v>
      </c>
    </row>
    <row r="93" spans="1:17" ht="17.100000000000001" customHeight="1">
      <c r="B93" s="169" t="s">
        <v>309</v>
      </c>
      <c r="C93" s="172">
        <v>1</v>
      </c>
      <c r="D93" s="172" t="s">
        <v>139</v>
      </c>
      <c r="E93" s="174">
        <v>125</v>
      </c>
      <c r="F93" s="172" t="s">
        <v>139</v>
      </c>
      <c r="G93" s="174">
        <v>10</v>
      </c>
      <c r="H93" s="172" t="s">
        <v>139</v>
      </c>
      <c r="I93" s="177">
        <v>2.5</v>
      </c>
      <c r="J93" s="176"/>
      <c r="K93" s="187"/>
      <c r="L93" s="176"/>
      <c r="M93" s="169" t="s">
        <v>14</v>
      </c>
      <c r="N93" s="176" t="s">
        <v>140</v>
      </c>
      <c r="O93" s="178">
        <f t="shared" si="3"/>
        <v>3125</v>
      </c>
      <c r="P93" s="180" t="s">
        <v>141</v>
      </c>
    </row>
    <row r="94" spans="1:17" ht="17.100000000000001" customHeight="1">
      <c r="B94" s="169" t="s">
        <v>310</v>
      </c>
      <c r="C94" s="172">
        <v>1</v>
      </c>
      <c r="D94" s="172" t="s">
        <v>139</v>
      </c>
      <c r="E94" s="174">
        <v>125</v>
      </c>
      <c r="F94" s="172" t="s">
        <v>139</v>
      </c>
      <c r="G94" s="174">
        <v>60</v>
      </c>
      <c r="H94" s="172" t="s">
        <v>139</v>
      </c>
      <c r="I94" s="177">
        <v>2.5</v>
      </c>
      <c r="J94" s="176"/>
      <c r="K94" s="187"/>
      <c r="L94" s="176"/>
      <c r="M94" s="169" t="s">
        <v>14</v>
      </c>
      <c r="N94" s="176" t="s">
        <v>140</v>
      </c>
      <c r="O94" s="178">
        <f t="shared" ref="O94" si="4">C94*E94*G94*I94</f>
        <v>18750</v>
      </c>
      <c r="P94" s="180" t="s">
        <v>141</v>
      </c>
    </row>
    <row r="95" spans="1:17" ht="17.100000000000001" customHeight="1">
      <c r="B95" s="169" t="s">
        <v>310</v>
      </c>
      <c r="C95" s="172">
        <v>1</v>
      </c>
      <c r="D95" s="172" t="s">
        <v>139</v>
      </c>
      <c r="E95" s="174">
        <v>30</v>
      </c>
      <c r="F95" s="172" t="s">
        <v>139</v>
      </c>
      <c r="G95" s="174">
        <v>25</v>
      </c>
      <c r="H95" s="172" t="s">
        <v>139</v>
      </c>
      <c r="I95" s="177">
        <v>2.5</v>
      </c>
      <c r="J95" s="172"/>
      <c r="K95" s="177"/>
      <c r="L95" s="176"/>
      <c r="M95" s="169" t="s">
        <v>14</v>
      </c>
      <c r="N95" s="176" t="s">
        <v>140</v>
      </c>
      <c r="O95" s="178">
        <f t="shared" si="3"/>
        <v>1875</v>
      </c>
      <c r="P95" s="180" t="s">
        <v>141</v>
      </c>
    </row>
    <row r="96" spans="1:17" ht="17.100000000000001" customHeight="1" thickBot="1">
      <c r="O96" s="344">
        <f>SUM(O91)</f>
        <v>4153.3335000000006</v>
      </c>
      <c r="P96" s="196" t="s">
        <v>157</v>
      </c>
    </row>
    <row r="97" spans="1:17" ht="17.100000000000001" customHeight="1">
      <c r="F97" s="468"/>
      <c r="G97" s="468"/>
      <c r="H97" s="469"/>
      <c r="I97" s="469"/>
      <c r="J97" s="470"/>
      <c r="K97" s="470"/>
      <c r="L97" s="189"/>
      <c r="M97" s="133"/>
      <c r="N97" s="189"/>
      <c r="O97" s="474"/>
      <c r="P97" s="474"/>
      <c r="Q97" s="180"/>
    </row>
    <row r="98" spans="1:17" ht="17.100000000000001" customHeight="1">
      <c r="A98" s="168" t="s">
        <v>165</v>
      </c>
      <c r="B98" s="479" t="s">
        <v>307</v>
      </c>
      <c r="C98" s="479"/>
      <c r="D98" s="479"/>
      <c r="E98" s="479"/>
      <c r="F98" s="479"/>
      <c r="G98" s="479"/>
      <c r="H98" s="479"/>
      <c r="I98" s="479"/>
      <c r="J98" s="479"/>
      <c r="K98" s="479"/>
      <c r="L98" s="479"/>
      <c r="M98" s="479"/>
      <c r="N98" s="189"/>
      <c r="O98" s="212"/>
      <c r="P98" s="212"/>
      <c r="Q98" s="209"/>
    </row>
    <row r="99" spans="1:17" ht="17.100000000000001" customHeight="1">
      <c r="A99" s="168"/>
      <c r="B99" s="194"/>
      <c r="C99" s="194"/>
      <c r="D99" s="194"/>
      <c r="E99" s="194"/>
      <c r="F99" s="194"/>
      <c r="G99" s="194"/>
      <c r="H99" s="194"/>
      <c r="I99" s="194"/>
      <c r="J99" s="194"/>
      <c r="K99" s="194"/>
      <c r="L99" s="194"/>
      <c r="M99" s="194"/>
      <c r="N99" s="189"/>
      <c r="O99" s="212"/>
      <c r="P99" s="212"/>
      <c r="Q99" s="209"/>
    </row>
    <row r="100" spans="1:17" ht="17.100000000000001" customHeight="1">
      <c r="A100" s="168"/>
      <c r="B100" s="169" t="s">
        <v>311</v>
      </c>
      <c r="C100" s="172"/>
      <c r="D100" s="172"/>
      <c r="E100" s="174"/>
      <c r="F100" s="172"/>
      <c r="G100" s="174"/>
      <c r="H100" s="172"/>
      <c r="I100" s="177"/>
      <c r="J100" s="176"/>
      <c r="K100" s="187"/>
      <c r="L100" s="176"/>
      <c r="M100" s="169" t="s">
        <v>14</v>
      </c>
      <c r="N100" s="176" t="s">
        <v>140</v>
      </c>
      <c r="O100" s="178">
        <f>O96</f>
        <v>4153.3335000000006</v>
      </c>
      <c r="P100" s="180" t="s">
        <v>141</v>
      </c>
      <c r="Q100" s="209"/>
    </row>
    <row r="101" spans="1:17" ht="17.100000000000001" customHeight="1" thickBot="1">
      <c r="A101" s="189"/>
      <c r="B101" s="169"/>
      <c r="C101" s="172"/>
      <c r="D101" s="480"/>
      <c r="E101" s="480"/>
      <c r="F101" s="480"/>
      <c r="G101" s="219"/>
      <c r="H101" s="176"/>
      <c r="I101" s="187"/>
      <c r="J101" s="176"/>
      <c r="K101" s="219"/>
      <c r="L101" s="203"/>
      <c r="M101" s="203"/>
      <c r="N101" s="180" t="s">
        <v>140</v>
      </c>
      <c r="O101" s="181">
        <f>SUM(O100)</f>
        <v>4153.3335000000006</v>
      </c>
      <c r="P101" s="191" t="s">
        <v>141</v>
      </c>
      <c r="Q101" s="133"/>
    </row>
    <row r="102" spans="1:17" ht="17.100000000000001" customHeight="1">
      <c r="A102" s="189"/>
      <c r="B102" s="169"/>
      <c r="C102" s="172"/>
      <c r="D102" s="172"/>
      <c r="E102" s="215"/>
      <c r="F102" s="176"/>
      <c r="G102" s="216"/>
      <c r="H102" s="176"/>
      <c r="I102" s="177"/>
      <c r="J102" s="176"/>
      <c r="K102" s="203"/>
      <c r="L102" s="203"/>
      <c r="M102" s="203"/>
      <c r="N102" s="180"/>
      <c r="O102" s="218"/>
      <c r="P102" s="180"/>
      <c r="Q102" s="133"/>
    </row>
    <row r="103" spans="1:17" ht="17.100000000000001" customHeight="1">
      <c r="A103" s="220">
        <v>10</v>
      </c>
      <c r="B103" s="467" t="s">
        <v>168</v>
      </c>
      <c r="C103" s="467"/>
      <c r="D103" s="467"/>
      <c r="E103" s="467"/>
      <c r="F103" s="467"/>
      <c r="G103" s="467"/>
      <c r="H103" s="467"/>
      <c r="I103" s="467"/>
      <c r="J103" s="467"/>
      <c r="K103" s="467"/>
      <c r="L103" s="467"/>
      <c r="M103" s="467"/>
      <c r="N103" s="176"/>
      <c r="O103" s="178"/>
      <c r="P103" s="221"/>
      <c r="Q103" s="169"/>
    </row>
    <row r="104" spans="1:17" ht="17.100000000000001" customHeight="1">
      <c r="A104" s="220"/>
      <c r="B104" s="467"/>
      <c r="C104" s="467"/>
      <c r="D104" s="467"/>
      <c r="E104" s="467"/>
      <c r="F104" s="467"/>
      <c r="G104" s="467"/>
      <c r="H104" s="467"/>
      <c r="I104" s="467"/>
      <c r="J104" s="467"/>
      <c r="K104" s="467"/>
      <c r="L104" s="467"/>
      <c r="M104" s="467"/>
      <c r="N104" s="176"/>
      <c r="O104" s="178"/>
      <c r="P104" s="221"/>
      <c r="Q104" s="169"/>
    </row>
    <row r="105" spans="1:17" ht="17.100000000000001" customHeight="1">
      <c r="A105" s="220"/>
      <c r="B105" s="183"/>
      <c r="C105" s="183"/>
      <c r="D105" s="183"/>
      <c r="E105" s="183"/>
      <c r="F105" s="183"/>
      <c r="G105" s="183"/>
      <c r="H105" s="183"/>
      <c r="I105" s="183"/>
      <c r="J105" s="183"/>
      <c r="K105" s="183"/>
      <c r="L105" s="183"/>
      <c r="M105" s="183"/>
      <c r="N105" s="176"/>
      <c r="O105" s="178"/>
      <c r="P105" s="221"/>
      <c r="Q105" s="169"/>
    </row>
    <row r="106" spans="1:17" ht="17.100000000000001" customHeight="1">
      <c r="A106" s="220"/>
      <c r="B106" s="171" t="s">
        <v>169</v>
      </c>
      <c r="C106" s="222">
        <v>3</v>
      </c>
      <c r="D106" s="172" t="s">
        <v>139</v>
      </c>
      <c r="E106" s="174">
        <v>94.83</v>
      </c>
      <c r="F106" s="172" t="s">
        <v>139</v>
      </c>
      <c r="G106" s="177">
        <v>1.1299999999999999</v>
      </c>
      <c r="H106" s="176" t="s">
        <v>139</v>
      </c>
      <c r="I106" s="175">
        <v>10.5</v>
      </c>
      <c r="J106" s="175"/>
      <c r="K106" s="175"/>
      <c r="L106" s="199"/>
      <c r="M106" s="177"/>
      <c r="N106" s="176" t="s">
        <v>140</v>
      </c>
      <c r="O106" s="223">
        <f>C106*E106*G106*I106</f>
        <v>3375.4738500000003</v>
      </c>
      <c r="P106" s="179" t="s">
        <v>141</v>
      </c>
      <c r="Q106" s="169"/>
    </row>
    <row r="107" spans="1:17" ht="17.100000000000001" customHeight="1">
      <c r="A107" s="220"/>
      <c r="B107" s="171" t="s">
        <v>170</v>
      </c>
      <c r="C107" s="222">
        <v>6</v>
      </c>
      <c r="D107" s="172" t="s">
        <v>139</v>
      </c>
      <c r="E107" s="174">
        <v>16</v>
      </c>
      <c r="F107" s="172" t="s">
        <v>139</v>
      </c>
      <c r="G107" s="177">
        <v>1.1299999999999999</v>
      </c>
      <c r="H107" s="176" t="s">
        <v>139</v>
      </c>
      <c r="I107" s="175">
        <v>10.5</v>
      </c>
      <c r="J107" s="175"/>
      <c r="K107" s="175"/>
      <c r="L107" s="199"/>
      <c r="M107" s="177"/>
      <c r="N107" s="176" t="s">
        <v>140</v>
      </c>
      <c r="O107" s="223">
        <f>C107*E107*G107*I107</f>
        <v>1139.04</v>
      </c>
      <c r="P107" s="179" t="s">
        <v>141</v>
      </c>
      <c r="Q107" s="169"/>
    </row>
    <row r="108" spans="1:17" ht="17.100000000000001" customHeight="1">
      <c r="A108" s="220"/>
      <c r="B108" s="171" t="s">
        <v>171</v>
      </c>
      <c r="C108" s="222">
        <v>2</v>
      </c>
      <c r="D108" s="172" t="s">
        <v>139</v>
      </c>
      <c r="E108" s="174">
        <v>6</v>
      </c>
      <c r="F108" s="172" t="s">
        <v>139</v>
      </c>
      <c r="G108" s="177">
        <v>1.1299999999999999</v>
      </c>
      <c r="H108" s="176" t="s">
        <v>139</v>
      </c>
      <c r="I108" s="175">
        <v>10.5</v>
      </c>
      <c r="J108" s="175"/>
      <c r="K108" s="175"/>
      <c r="L108" s="199"/>
      <c r="M108" s="177"/>
      <c r="N108" s="176" t="s">
        <v>140</v>
      </c>
      <c r="O108" s="223">
        <f>C108*E108*G108*I108</f>
        <v>142.38</v>
      </c>
      <c r="P108" s="179" t="s">
        <v>141</v>
      </c>
      <c r="Q108" s="169"/>
    </row>
    <row r="109" spans="1:17" ht="17.100000000000001" customHeight="1">
      <c r="A109" s="220"/>
      <c r="B109" s="171" t="s">
        <v>312</v>
      </c>
      <c r="C109" s="173">
        <v>2</v>
      </c>
      <c r="D109" s="173" t="s">
        <v>139</v>
      </c>
      <c r="E109" s="345" t="s">
        <v>313</v>
      </c>
      <c r="H109" s="173" t="s">
        <v>139</v>
      </c>
      <c r="I109" s="175">
        <v>0.75</v>
      </c>
      <c r="J109" s="173" t="s">
        <v>139</v>
      </c>
      <c r="K109" s="175">
        <v>4</v>
      </c>
      <c r="L109" s="171"/>
      <c r="M109" s="171"/>
      <c r="N109" s="224" t="s">
        <v>140</v>
      </c>
      <c r="O109" s="223">
        <f>C109*(9+4)*I109*K109</f>
        <v>78</v>
      </c>
      <c r="P109" s="179" t="s">
        <v>141</v>
      </c>
      <c r="Q109" s="169"/>
    </row>
    <row r="110" spans="1:17" ht="17.100000000000001" customHeight="1" thickBot="1">
      <c r="A110" s="176"/>
      <c r="B110" s="169"/>
      <c r="C110" s="172"/>
      <c r="D110" s="172"/>
      <c r="E110" s="215"/>
      <c r="F110" s="176"/>
      <c r="G110" s="216"/>
      <c r="H110" s="176"/>
      <c r="I110" s="177"/>
      <c r="J110" s="176"/>
      <c r="K110" s="203"/>
      <c r="L110" s="203"/>
      <c r="M110" s="203"/>
      <c r="N110" s="180"/>
      <c r="O110" s="225">
        <f>SUM(O106:O109)</f>
        <v>4734.8938500000004</v>
      </c>
      <c r="P110" s="182" t="s">
        <v>141</v>
      </c>
      <c r="Q110" s="169"/>
    </row>
    <row r="111" spans="1:17" ht="17.100000000000001" customHeight="1">
      <c r="B111" s="217" t="s">
        <v>167</v>
      </c>
      <c r="C111" s="226"/>
      <c r="D111" s="226"/>
      <c r="E111" s="226"/>
      <c r="F111" s="226"/>
      <c r="G111" s="226"/>
      <c r="H111" s="172"/>
      <c r="I111" s="172"/>
      <c r="J111" s="227"/>
      <c r="K111" s="177"/>
      <c r="L111" s="180"/>
      <c r="M111" s="187"/>
      <c r="N111" s="176"/>
      <c r="O111" s="228"/>
      <c r="P111" s="180"/>
      <c r="Q111" s="169"/>
    </row>
    <row r="112" spans="1:17" ht="17.100000000000001" customHeight="1">
      <c r="A112" s="189"/>
      <c r="B112" s="229" t="s">
        <v>314</v>
      </c>
      <c r="C112" s="172">
        <v>1</v>
      </c>
      <c r="D112" s="172" t="s">
        <v>139</v>
      </c>
      <c r="E112" s="173">
        <v>5</v>
      </c>
      <c r="F112" s="172" t="s">
        <v>139</v>
      </c>
      <c r="G112" s="174">
        <v>4</v>
      </c>
      <c r="H112" s="172" t="s">
        <v>139</v>
      </c>
      <c r="I112" s="177">
        <v>1.1299999999999999</v>
      </c>
      <c r="J112" s="176" t="s">
        <v>139</v>
      </c>
      <c r="K112" s="177">
        <v>7</v>
      </c>
      <c r="L112" s="176"/>
      <c r="M112" s="187"/>
      <c r="N112" s="176" t="s">
        <v>140</v>
      </c>
      <c r="O112" s="178">
        <f t="shared" ref="O112:O115" si="5">C112*E112*G112*I112*K112</f>
        <v>158.19999999999999</v>
      </c>
      <c r="P112" s="179" t="s">
        <v>141</v>
      </c>
      <c r="Q112" s="169"/>
    </row>
    <row r="113" spans="1:17" ht="17.100000000000001" customHeight="1">
      <c r="A113" s="176"/>
      <c r="B113" s="229" t="s">
        <v>315</v>
      </c>
      <c r="C113" s="172">
        <v>5</v>
      </c>
      <c r="D113" s="172" t="s">
        <v>139</v>
      </c>
      <c r="E113" s="173">
        <v>3</v>
      </c>
      <c r="F113" s="172" t="s">
        <v>139</v>
      </c>
      <c r="G113" s="174">
        <v>4.5</v>
      </c>
      <c r="H113" s="172" t="s">
        <v>139</v>
      </c>
      <c r="I113" s="177">
        <v>1.1299999999999999</v>
      </c>
      <c r="J113" s="176" t="s">
        <v>139</v>
      </c>
      <c r="K113" s="177">
        <v>4</v>
      </c>
      <c r="L113" s="176"/>
      <c r="M113" s="169" t="s">
        <v>14</v>
      </c>
      <c r="N113" s="176" t="s">
        <v>140</v>
      </c>
      <c r="O113" s="178">
        <f t="shared" si="5"/>
        <v>305.09999999999997</v>
      </c>
      <c r="P113" s="179" t="s">
        <v>141</v>
      </c>
      <c r="Q113" s="169"/>
    </row>
    <row r="114" spans="1:17" ht="17.100000000000001" customHeight="1">
      <c r="A114" s="176"/>
      <c r="B114" s="229" t="s">
        <v>290</v>
      </c>
      <c r="C114" s="172">
        <v>1</v>
      </c>
      <c r="D114" s="172" t="s">
        <v>139</v>
      </c>
      <c r="E114" s="173">
        <v>6</v>
      </c>
      <c r="F114" s="172" t="s">
        <v>139</v>
      </c>
      <c r="G114" s="174">
        <v>6</v>
      </c>
      <c r="H114" s="172" t="s">
        <v>139</v>
      </c>
      <c r="I114" s="177">
        <v>1.1299999999999999</v>
      </c>
      <c r="J114" s="176" t="s">
        <v>139</v>
      </c>
      <c r="K114" s="177">
        <v>8</v>
      </c>
      <c r="L114" s="176"/>
      <c r="M114" s="169" t="s">
        <v>14</v>
      </c>
      <c r="N114" s="176" t="s">
        <v>140</v>
      </c>
      <c r="O114" s="178">
        <f t="shared" si="5"/>
        <v>325.43999999999994</v>
      </c>
      <c r="P114" s="179" t="s">
        <v>141</v>
      </c>
      <c r="Q114" s="169"/>
    </row>
    <row r="115" spans="1:17" ht="17.100000000000001" customHeight="1">
      <c r="A115" s="176"/>
      <c r="B115" s="229" t="s">
        <v>290</v>
      </c>
      <c r="C115" s="172">
        <v>1</v>
      </c>
      <c r="D115" s="172" t="s">
        <v>139</v>
      </c>
      <c r="E115" s="173">
        <v>2</v>
      </c>
      <c r="F115" s="172" t="s">
        <v>139</v>
      </c>
      <c r="G115" s="174">
        <v>4.25</v>
      </c>
      <c r="H115" s="172" t="s">
        <v>139</v>
      </c>
      <c r="I115" s="177">
        <v>1.1299999999999999</v>
      </c>
      <c r="J115" s="176" t="s">
        <v>139</v>
      </c>
      <c r="K115" s="177">
        <v>8</v>
      </c>
      <c r="L115" s="176"/>
      <c r="M115" s="169" t="s">
        <v>14</v>
      </c>
      <c r="N115" s="176" t="s">
        <v>140</v>
      </c>
      <c r="O115" s="178">
        <f t="shared" si="5"/>
        <v>76.839999999999989</v>
      </c>
      <c r="P115" s="179" t="s">
        <v>141</v>
      </c>
      <c r="Q115" s="169"/>
    </row>
    <row r="116" spans="1:17" ht="17.100000000000001" customHeight="1" thickBot="1">
      <c r="A116" s="220"/>
      <c r="B116" s="169"/>
      <c r="C116" s="172"/>
      <c r="D116" s="172"/>
      <c r="E116" s="215"/>
      <c r="F116" s="176"/>
      <c r="G116" s="216"/>
      <c r="H116" s="176"/>
      <c r="I116" s="177"/>
      <c r="J116" s="176"/>
      <c r="K116" s="203"/>
      <c r="L116" s="203"/>
      <c r="M116" s="203"/>
      <c r="N116" s="180"/>
      <c r="O116" s="181">
        <f>SUM(O112:O115)</f>
        <v>865.57999999999993</v>
      </c>
      <c r="P116" s="180" t="s">
        <v>141</v>
      </c>
      <c r="Q116" s="169"/>
    </row>
    <row r="117" spans="1:17" ht="17.100000000000001" customHeight="1">
      <c r="A117" s="220"/>
      <c r="B117" s="169"/>
      <c r="C117" s="172"/>
      <c r="D117" s="481" t="s">
        <v>173</v>
      </c>
      <c r="E117" s="481"/>
      <c r="F117" s="481"/>
      <c r="G117" s="481"/>
      <c r="H117" s="481"/>
      <c r="I117" s="482">
        <f>O110</f>
        <v>4734.8938500000004</v>
      </c>
      <c r="J117" s="482"/>
      <c r="K117" s="199" t="s">
        <v>174</v>
      </c>
      <c r="L117" s="176"/>
      <c r="M117" s="219">
        <f>O116</f>
        <v>865.57999999999993</v>
      </c>
      <c r="N117" s="176" t="s">
        <v>140</v>
      </c>
      <c r="O117" s="218">
        <f>I117-M117</f>
        <v>3869.3138500000005</v>
      </c>
      <c r="P117" s="193" t="s">
        <v>157</v>
      </c>
      <c r="Q117" s="169"/>
    </row>
    <row r="118" spans="1:17" ht="17.100000000000001" customHeight="1">
      <c r="A118" s="220"/>
      <c r="B118" s="169"/>
      <c r="C118" s="172"/>
      <c r="D118" s="230"/>
      <c r="E118" s="230"/>
      <c r="F118" s="230"/>
      <c r="G118" s="230"/>
      <c r="H118" s="230"/>
      <c r="I118" s="177"/>
      <c r="J118" s="177"/>
      <c r="K118" s="199"/>
      <c r="L118" s="176"/>
      <c r="M118" s="187"/>
      <c r="N118" s="176"/>
      <c r="O118" s="178"/>
      <c r="P118" s="193"/>
      <c r="Q118" s="169"/>
    </row>
    <row r="119" spans="1:17" ht="17.100000000000001" customHeight="1">
      <c r="A119" s="220">
        <v>11</v>
      </c>
      <c r="B119" s="479" t="s">
        <v>175</v>
      </c>
      <c r="C119" s="479"/>
      <c r="D119" s="479"/>
      <c r="E119" s="479"/>
      <c r="F119" s="479"/>
      <c r="G119" s="479"/>
      <c r="H119" s="479"/>
      <c r="I119" s="479"/>
      <c r="J119" s="479"/>
      <c r="K119" s="479"/>
      <c r="L119" s="479"/>
      <c r="M119" s="479"/>
      <c r="N119" s="479"/>
      <c r="O119" s="479"/>
      <c r="P119" s="479"/>
      <c r="Q119" s="169"/>
    </row>
    <row r="120" spans="1:17" ht="17.100000000000001" customHeight="1">
      <c r="A120" s="176"/>
      <c r="B120" s="169" t="s">
        <v>308</v>
      </c>
      <c r="C120" s="172">
        <v>5</v>
      </c>
      <c r="D120" s="172" t="s">
        <v>139</v>
      </c>
      <c r="E120" s="174">
        <v>2</v>
      </c>
      <c r="F120" s="172" t="s">
        <v>139</v>
      </c>
      <c r="G120" s="203" t="s">
        <v>317</v>
      </c>
      <c r="H120" s="219"/>
      <c r="I120" s="227"/>
      <c r="J120" s="172" t="s">
        <v>139</v>
      </c>
      <c r="K120" s="174">
        <v>12</v>
      </c>
      <c r="L120" s="231"/>
      <c r="M120" s="232"/>
      <c r="N120" s="176" t="s">
        <v>140</v>
      </c>
      <c r="O120" s="188">
        <f>C120*E120*(18+16)*K120</f>
        <v>4080</v>
      </c>
      <c r="P120" s="193" t="s">
        <v>157</v>
      </c>
    </row>
    <row r="121" spans="1:17" ht="17.100000000000001" customHeight="1">
      <c r="A121" s="176"/>
      <c r="B121" s="169" t="s">
        <v>176</v>
      </c>
      <c r="C121" s="172">
        <v>1</v>
      </c>
      <c r="D121" s="172" t="s">
        <v>139</v>
      </c>
      <c r="E121" s="174">
        <v>2</v>
      </c>
      <c r="F121" s="172" t="s">
        <v>139</v>
      </c>
      <c r="G121" s="227" t="s">
        <v>318</v>
      </c>
      <c r="H121" s="219"/>
      <c r="I121" s="227"/>
      <c r="J121" s="172" t="s">
        <v>139</v>
      </c>
      <c r="K121" s="174">
        <v>12</v>
      </c>
      <c r="L121" s="231"/>
      <c r="M121" s="232"/>
      <c r="N121" s="176" t="s">
        <v>140</v>
      </c>
      <c r="O121" s="188">
        <f>C121*E121*(94.5+6)*K121</f>
        <v>2412</v>
      </c>
      <c r="P121" s="193" t="s">
        <v>157</v>
      </c>
    </row>
    <row r="122" spans="1:17" ht="17.100000000000001" customHeight="1">
      <c r="A122" s="176"/>
      <c r="B122" s="169" t="s">
        <v>316</v>
      </c>
      <c r="C122" s="172">
        <v>1</v>
      </c>
      <c r="D122" s="172" t="s">
        <v>139</v>
      </c>
      <c r="E122" s="174">
        <v>2</v>
      </c>
      <c r="F122" s="172" t="s">
        <v>139</v>
      </c>
      <c r="G122" s="227" t="s">
        <v>319</v>
      </c>
      <c r="H122" s="203"/>
      <c r="I122" s="203"/>
      <c r="J122" s="172" t="s">
        <v>139</v>
      </c>
      <c r="K122" s="174">
        <v>12</v>
      </c>
      <c r="L122" s="219"/>
      <c r="M122" s="233"/>
      <c r="N122" s="176" t="s">
        <v>140</v>
      </c>
      <c r="O122" s="188">
        <f>C122*E122*(96.83+25.5)*K122</f>
        <v>2935.92</v>
      </c>
      <c r="P122" s="193" t="s">
        <v>157</v>
      </c>
    </row>
    <row r="123" spans="1:17" ht="17.100000000000001" customHeight="1" thickBot="1">
      <c r="A123" s="176"/>
      <c r="B123" s="230"/>
      <c r="C123" s="169"/>
      <c r="D123" s="216"/>
      <c r="E123" s="481"/>
      <c r="F123" s="481"/>
      <c r="G123" s="481"/>
      <c r="H123" s="172"/>
      <c r="I123" s="482"/>
      <c r="J123" s="482"/>
      <c r="K123" s="199"/>
      <c r="L123" s="176"/>
      <c r="M123" s="219"/>
      <c r="N123" s="176" t="s">
        <v>140</v>
      </c>
      <c r="O123" s="181">
        <f>SUM(O120:O122)</f>
        <v>9427.92</v>
      </c>
      <c r="P123" s="196" t="s">
        <v>157</v>
      </c>
      <c r="Q123" s="206"/>
    </row>
    <row r="124" spans="1:17" ht="17.100000000000001" customHeight="1">
      <c r="A124" s="176"/>
      <c r="B124" s="230"/>
      <c r="C124" s="169"/>
      <c r="D124" s="216"/>
      <c r="E124" s="230"/>
      <c r="F124" s="230"/>
      <c r="G124" s="230"/>
      <c r="H124" s="172"/>
      <c r="I124" s="177"/>
      <c r="J124" s="177"/>
      <c r="K124" s="199"/>
      <c r="L124" s="176"/>
      <c r="M124" s="187"/>
      <c r="N124" s="176"/>
      <c r="O124" s="178"/>
      <c r="P124" s="193"/>
      <c r="Q124" s="206"/>
    </row>
    <row r="125" spans="1:17" ht="17.100000000000001" customHeight="1">
      <c r="A125" s="220">
        <v>12</v>
      </c>
      <c r="B125" s="467" t="s">
        <v>177</v>
      </c>
      <c r="C125" s="467"/>
      <c r="D125" s="467"/>
      <c r="E125" s="467"/>
      <c r="F125" s="467"/>
      <c r="G125" s="467"/>
      <c r="H125" s="467"/>
      <c r="I125" s="467"/>
      <c r="J125" s="467"/>
      <c r="K125" s="467"/>
      <c r="L125" s="467"/>
      <c r="M125" s="467"/>
      <c r="N125" s="169"/>
      <c r="O125" s="169"/>
      <c r="P125" s="169"/>
      <c r="Q125" s="206"/>
    </row>
    <row r="126" spans="1:17" ht="17.100000000000001" customHeight="1">
      <c r="A126" s="176"/>
      <c r="B126" s="484" t="s">
        <v>178</v>
      </c>
      <c r="C126" s="484"/>
      <c r="D126" s="484"/>
      <c r="E126" s="484"/>
      <c r="F126" s="484"/>
      <c r="G126" s="484"/>
      <c r="H126" s="169"/>
      <c r="I126" s="169"/>
      <c r="J126" s="169"/>
      <c r="K126" s="169"/>
      <c r="L126" s="169"/>
      <c r="M126" s="169"/>
      <c r="N126" s="180" t="s">
        <v>140</v>
      </c>
      <c r="O126" s="178">
        <f>O123</f>
        <v>9427.92</v>
      </c>
      <c r="P126" s="206" t="s">
        <v>157</v>
      </c>
      <c r="Q126" s="206"/>
    </row>
    <row r="127" spans="1:17" ht="17.100000000000001" customHeight="1">
      <c r="A127" s="176"/>
      <c r="B127" s="226" t="s">
        <v>320</v>
      </c>
      <c r="C127" s="172">
        <v>1</v>
      </c>
      <c r="D127" s="172" t="s">
        <v>139</v>
      </c>
      <c r="E127" s="174">
        <v>2</v>
      </c>
      <c r="F127" s="172" t="s">
        <v>139</v>
      </c>
      <c r="G127" s="227" t="s">
        <v>321</v>
      </c>
      <c r="H127" s="219"/>
      <c r="I127" s="227"/>
      <c r="J127" s="172" t="s">
        <v>139</v>
      </c>
      <c r="K127" s="174">
        <v>3.5</v>
      </c>
      <c r="L127" s="231"/>
      <c r="M127" s="232"/>
      <c r="N127" s="176" t="s">
        <v>140</v>
      </c>
      <c r="O127" s="188">
        <f>C127*E127*(94.5+6)*K127</f>
        <v>703.5</v>
      </c>
      <c r="P127" s="193" t="s">
        <v>157</v>
      </c>
      <c r="Q127" s="206"/>
    </row>
    <row r="128" spans="1:17" ht="17.100000000000001" customHeight="1" thickBot="1">
      <c r="A128" s="176"/>
      <c r="B128" s="169"/>
      <c r="C128" s="169"/>
      <c r="D128" s="169"/>
      <c r="E128" s="169"/>
      <c r="F128" s="169"/>
      <c r="G128" s="169"/>
      <c r="H128" s="169"/>
      <c r="I128" s="169"/>
      <c r="J128" s="169"/>
      <c r="K128" s="169"/>
      <c r="L128" s="169"/>
      <c r="M128" s="169"/>
      <c r="N128" s="169"/>
      <c r="O128" s="181">
        <f>SUM(O126:O127)</f>
        <v>10131.42</v>
      </c>
      <c r="P128" s="242" t="s">
        <v>157</v>
      </c>
      <c r="Q128" s="206"/>
    </row>
    <row r="129" spans="1:17" ht="17.100000000000001" customHeight="1">
      <c r="A129" s="176"/>
      <c r="B129" s="169"/>
      <c r="C129" s="169"/>
      <c r="D129" s="169"/>
      <c r="E129" s="169"/>
      <c r="F129" s="468"/>
      <c r="G129" s="468"/>
      <c r="H129" s="469"/>
      <c r="I129" s="469"/>
      <c r="J129" s="486"/>
      <c r="K129" s="486"/>
      <c r="L129" s="483"/>
      <c r="M129" s="483"/>
      <c r="N129" s="189"/>
      <c r="O129" s="474"/>
      <c r="P129" s="474"/>
      <c r="Q129" s="209"/>
    </row>
    <row r="130" spans="1:17" ht="17.100000000000001" customHeight="1">
      <c r="A130" s="220">
        <v>13</v>
      </c>
      <c r="B130" s="467" t="s">
        <v>331</v>
      </c>
      <c r="C130" s="467"/>
      <c r="D130" s="467"/>
      <c r="E130" s="467"/>
      <c r="F130" s="467"/>
      <c r="G130" s="467"/>
      <c r="H130" s="467"/>
      <c r="I130" s="467"/>
      <c r="J130" s="467"/>
      <c r="K130" s="467"/>
      <c r="L130" s="467"/>
      <c r="M130" s="467"/>
      <c r="N130" s="176"/>
      <c r="O130" s="188"/>
      <c r="P130" s="169"/>
      <c r="Q130" s="169"/>
    </row>
    <row r="131" spans="1:17" ht="17.100000000000001" customHeight="1">
      <c r="A131" s="220"/>
      <c r="B131" s="467"/>
      <c r="C131" s="467"/>
      <c r="D131" s="467"/>
      <c r="E131" s="467"/>
      <c r="F131" s="467"/>
      <c r="G131" s="467"/>
      <c r="H131" s="467"/>
      <c r="I131" s="467"/>
      <c r="J131" s="467"/>
      <c r="K131" s="467"/>
      <c r="L131" s="467"/>
      <c r="M131" s="467"/>
      <c r="N131" s="176"/>
      <c r="O131" s="188"/>
      <c r="P131" s="169"/>
      <c r="Q131" s="169"/>
    </row>
    <row r="132" spans="1:17" ht="17.100000000000001" customHeight="1">
      <c r="A132" s="220"/>
      <c r="B132" s="169"/>
      <c r="C132" s="172"/>
      <c r="D132" s="172"/>
      <c r="E132" s="174"/>
      <c r="F132" s="172"/>
      <c r="G132" s="174"/>
      <c r="H132" s="172"/>
      <c r="I132" s="177"/>
      <c r="J132" s="188"/>
      <c r="K132" s="204"/>
      <c r="L132" s="169"/>
      <c r="M132" s="169"/>
      <c r="N132" s="176"/>
      <c r="O132" s="228"/>
      <c r="P132" s="193"/>
      <c r="Q132" s="169"/>
    </row>
    <row r="133" spans="1:17" ht="17.100000000000001" customHeight="1" thickBot="1">
      <c r="A133" s="176"/>
      <c r="B133" s="169" t="s">
        <v>185</v>
      </c>
      <c r="C133" s="172">
        <v>1</v>
      </c>
      <c r="D133" s="172" t="s">
        <v>139</v>
      </c>
      <c r="E133" s="174">
        <v>99.83</v>
      </c>
      <c r="F133" s="172" t="s">
        <v>139</v>
      </c>
      <c r="G133" s="174">
        <v>28.5</v>
      </c>
      <c r="H133" s="172"/>
      <c r="I133" s="177"/>
      <c r="J133" s="188"/>
      <c r="K133" s="204"/>
      <c r="L133" s="169"/>
      <c r="M133" s="169"/>
      <c r="N133" s="176" t="s">
        <v>140</v>
      </c>
      <c r="O133" s="228">
        <f>+C133*E133*G133</f>
        <v>2845.1549999999997</v>
      </c>
      <c r="P133" s="193" t="s">
        <v>157</v>
      </c>
      <c r="Q133" s="169"/>
    </row>
    <row r="134" spans="1:17" ht="17.100000000000001" customHeight="1">
      <c r="A134" s="197"/>
      <c r="B134" s="194"/>
      <c r="C134" s="172"/>
      <c r="D134" s="172"/>
      <c r="E134" s="174"/>
      <c r="F134" s="172"/>
      <c r="G134" s="174"/>
      <c r="H134" s="172"/>
      <c r="I134" s="236"/>
      <c r="J134" s="176"/>
      <c r="K134" s="187"/>
      <c r="L134" s="176"/>
      <c r="M134" s="169"/>
      <c r="N134" s="176"/>
      <c r="O134" s="234">
        <f>SUM(O132:O133)</f>
        <v>2845.1549999999997</v>
      </c>
      <c r="P134" s="235" t="s">
        <v>157</v>
      </c>
      <c r="Q134" s="169"/>
    </row>
    <row r="135" spans="1:17" ht="17.100000000000001" customHeight="1">
      <c r="A135" s="197"/>
      <c r="F135" s="468"/>
      <c r="G135" s="468"/>
      <c r="H135" s="469"/>
      <c r="I135" s="469"/>
      <c r="J135" s="470"/>
      <c r="K135" s="470"/>
      <c r="L135" s="483"/>
      <c r="M135" s="483"/>
      <c r="N135" s="189"/>
      <c r="O135" s="474"/>
      <c r="P135" s="474"/>
      <c r="Q135" s="209"/>
    </row>
    <row r="136" spans="1:17" ht="17.100000000000001" customHeight="1">
      <c r="A136" s="220">
        <v>14</v>
      </c>
      <c r="B136" s="485" t="s">
        <v>179</v>
      </c>
      <c r="C136" s="485"/>
      <c r="D136" s="485"/>
      <c r="E136" s="485"/>
      <c r="F136" s="485"/>
      <c r="G136" s="485"/>
      <c r="H136" s="485"/>
      <c r="I136" s="485"/>
      <c r="J136" s="485"/>
      <c r="K136" s="485"/>
      <c r="L136" s="485"/>
      <c r="M136" s="485"/>
      <c r="N136" s="194"/>
      <c r="O136" s="194"/>
      <c r="P136" s="194"/>
      <c r="Q136" s="209"/>
    </row>
    <row r="137" spans="1:17" ht="17.100000000000001" customHeight="1">
      <c r="A137" s="220"/>
      <c r="B137" s="485"/>
      <c r="C137" s="485"/>
      <c r="D137" s="485"/>
      <c r="E137" s="485"/>
      <c r="F137" s="485"/>
      <c r="G137" s="485"/>
      <c r="H137" s="485"/>
      <c r="I137" s="485"/>
      <c r="J137" s="485"/>
      <c r="K137" s="485"/>
      <c r="L137" s="485"/>
      <c r="M137" s="485"/>
      <c r="N137" s="194"/>
      <c r="O137" s="194"/>
      <c r="P137" s="194"/>
      <c r="Q137" s="209"/>
    </row>
    <row r="138" spans="1:17" ht="17.100000000000001" customHeight="1">
      <c r="A138" s="220"/>
      <c r="B138" s="183"/>
      <c r="C138" s="183"/>
      <c r="D138" s="183"/>
      <c r="E138" s="183"/>
      <c r="F138" s="183"/>
      <c r="G138" s="183"/>
      <c r="H138" s="183"/>
      <c r="I138" s="183"/>
      <c r="J138" s="183"/>
      <c r="K138" s="183"/>
      <c r="L138" s="183"/>
      <c r="M138" s="183"/>
      <c r="N138" s="194"/>
      <c r="O138" s="194"/>
      <c r="P138" s="194"/>
      <c r="Q138" s="209"/>
    </row>
    <row r="139" spans="1:17" ht="17.100000000000001" customHeight="1">
      <c r="A139" s="197"/>
      <c r="B139" s="169" t="s">
        <v>180</v>
      </c>
      <c r="C139" s="222">
        <v>4</v>
      </c>
      <c r="D139" s="172" t="s">
        <v>139</v>
      </c>
      <c r="E139" s="174">
        <v>18</v>
      </c>
      <c r="F139" s="172" t="s">
        <v>139</v>
      </c>
      <c r="G139" s="177">
        <v>16</v>
      </c>
      <c r="H139" s="172"/>
      <c r="I139" s="177"/>
      <c r="J139" s="188"/>
      <c r="K139" s="199"/>
      <c r="L139" s="169"/>
      <c r="M139" s="169"/>
      <c r="N139" s="176" t="s">
        <v>140</v>
      </c>
      <c r="O139" s="228">
        <f>+C139*E139*G139</f>
        <v>1152</v>
      </c>
      <c r="P139" s="193" t="s">
        <v>157</v>
      </c>
      <c r="Q139" s="209"/>
    </row>
    <row r="140" spans="1:17" ht="17.100000000000001" customHeight="1">
      <c r="A140" s="197"/>
      <c r="B140" s="169" t="s">
        <v>176</v>
      </c>
      <c r="C140" s="222">
        <v>1</v>
      </c>
      <c r="D140" s="172" t="s">
        <v>139</v>
      </c>
      <c r="E140" s="174">
        <v>94.5</v>
      </c>
      <c r="F140" s="172" t="s">
        <v>139</v>
      </c>
      <c r="G140" s="177">
        <v>6</v>
      </c>
      <c r="H140" s="172"/>
      <c r="I140" s="177"/>
      <c r="J140" s="188"/>
      <c r="K140" s="199"/>
      <c r="L140" s="169"/>
      <c r="M140" s="169"/>
      <c r="N140" s="176" t="s">
        <v>140</v>
      </c>
      <c r="O140" s="228">
        <f>+C140*E140*G140</f>
        <v>567</v>
      </c>
      <c r="P140" s="193" t="s">
        <v>157</v>
      </c>
      <c r="Q140" s="209"/>
    </row>
    <row r="141" spans="1:17" ht="17.100000000000001" customHeight="1">
      <c r="A141" s="197"/>
      <c r="B141" s="169" t="s">
        <v>289</v>
      </c>
      <c r="C141" s="222">
        <v>5</v>
      </c>
      <c r="D141" s="172" t="s">
        <v>139</v>
      </c>
      <c r="E141" s="174">
        <v>4</v>
      </c>
      <c r="F141" s="172" t="s">
        <v>139</v>
      </c>
      <c r="G141" s="177">
        <v>1.1299999999999999</v>
      </c>
      <c r="H141" s="172"/>
      <c r="I141" s="177"/>
      <c r="J141" s="188"/>
      <c r="K141" s="199"/>
      <c r="L141" s="169"/>
      <c r="M141" s="169"/>
      <c r="N141" s="176" t="s">
        <v>140</v>
      </c>
      <c r="O141" s="228">
        <f>+C141*E141*G141</f>
        <v>22.599999999999998</v>
      </c>
      <c r="P141" s="193" t="s">
        <v>157</v>
      </c>
      <c r="Q141" s="209"/>
    </row>
    <row r="142" spans="1:17" ht="17.100000000000001" customHeight="1">
      <c r="A142" s="197"/>
      <c r="B142" s="169" t="s">
        <v>176</v>
      </c>
      <c r="C142" s="222">
        <v>6</v>
      </c>
      <c r="D142" s="172" t="s">
        <v>139</v>
      </c>
      <c r="E142" s="174">
        <v>6</v>
      </c>
      <c r="F142" s="172" t="s">
        <v>139</v>
      </c>
      <c r="G142" s="177">
        <v>1.5</v>
      </c>
      <c r="H142" s="172"/>
      <c r="I142" s="177"/>
      <c r="J142" s="188"/>
      <c r="K142" s="199"/>
      <c r="L142" s="169"/>
      <c r="M142" s="169"/>
      <c r="N142" s="176" t="s">
        <v>140</v>
      </c>
      <c r="O142" s="228">
        <f>+C142*E142*G142</f>
        <v>54</v>
      </c>
      <c r="P142" s="206" t="s">
        <v>157</v>
      </c>
      <c r="Q142" s="209"/>
    </row>
    <row r="143" spans="1:17" ht="17.100000000000001" customHeight="1">
      <c r="A143" s="197"/>
      <c r="B143" s="169" t="s">
        <v>299</v>
      </c>
      <c r="C143" s="222">
        <v>1</v>
      </c>
      <c r="D143" s="172" t="s">
        <v>139</v>
      </c>
      <c r="E143" s="174">
        <v>10</v>
      </c>
      <c r="F143" s="172" t="s">
        <v>139</v>
      </c>
      <c r="G143" s="177">
        <v>6</v>
      </c>
      <c r="H143" s="172"/>
      <c r="I143" s="177"/>
      <c r="J143" s="188"/>
      <c r="K143" s="199"/>
      <c r="L143" s="169"/>
      <c r="M143" s="169"/>
      <c r="N143" s="176" t="s">
        <v>140</v>
      </c>
      <c r="O143" s="228">
        <f>+C143*E143*G143</f>
        <v>60</v>
      </c>
      <c r="P143" s="206" t="s">
        <v>157</v>
      </c>
      <c r="Q143" s="209"/>
    </row>
    <row r="144" spans="1:17" ht="17.100000000000001" customHeight="1" thickBot="1">
      <c r="A144" s="197"/>
      <c r="B144" s="169"/>
      <c r="C144" s="169"/>
      <c r="D144" s="169"/>
      <c r="E144" s="169"/>
      <c r="F144" s="169"/>
      <c r="G144" s="169"/>
      <c r="H144" s="169"/>
      <c r="I144" s="169"/>
      <c r="J144" s="169"/>
      <c r="K144" s="169"/>
      <c r="L144" s="169"/>
      <c r="M144" s="169"/>
      <c r="N144" s="169"/>
      <c r="O144" s="181">
        <f>SUM(O139:O143)</f>
        <v>1855.6</v>
      </c>
      <c r="P144" s="242" t="s">
        <v>157</v>
      </c>
      <c r="Q144" s="209"/>
    </row>
    <row r="145" spans="1:17" ht="17.100000000000001" customHeight="1">
      <c r="A145" s="197"/>
      <c r="B145" s="194"/>
      <c r="C145" s="172"/>
      <c r="D145" s="172"/>
      <c r="E145" s="174"/>
      <c r="F145" s="468"/>
      <c r="G145" s="468"/>
      <c r="H145" s="469"/>
      <c r="I145" s="469"/>
      <c r="J145" s="487"/>
      <c r="K145" s="487"/>
      <c r="L145" s="483"/>
      <c r="M145" s="483"/>
      <c r="N145" s="189"/>
      <c r="O145" s="474"/>
      <c r="P145" s="474"/>
      <c r="Q145" s="209"/>
    </row>
    <row r="146" spans="1:17" ht="17.100000000000001" customHeight="1">
      <c r="A146" s="220">
        <v>15</v>
      </c>
      <c r="B146" s="479" t="s">
        <v>181</v>
      </c>
      <c r="C146" s="479"/>
      <c r="D146" s="479"/>
      <c r="E146" s="479"/>
      <c r="F146" s="479"/>
      <c r="G146" s="479"/>
      <c r="H146" s="479"/>
      <c r="I146" s="479"/>
      <c r="J146" s="479"/>
      <c r="K146" s="479"/>
      <c r="L146" s="479"/>
      <c r="M146" s="479"/>
      <c r="N146" s="169"/>
      <c r="O146" s="169"/>
      <c r="P146" s="169"/>
      <c r="Q146" s="169"/>
    </row>
    <row r="147" spans="1:17" ht="17.100000000000001" customHeight="1">
      <c r="A147" s="220"/>
      <c r="B147" s="479"/>
      <c r="C147" s="479"/>
      <c r="D147" s="479"/>
      <c r="E147" s="479"/>
      <c r="F147" s="479"/>
      <c r="G147" s="479"/>
      <c r="H147" s="479"/>
      <c r="I147" s="479"/>
      <c r="J147" s="479"/>
      <c r="K147" s="479"/>
      <c r="L147" s="479"/>
      <c r="M147" s="479"/>
      <c r="N147" s="169"/>
      <c r="O147" s="169"/>
      <c r="P147" s="169"/>
      <c r="Q147" s="169"/>
    </row>
    <row r="148" spans="1:17" ht="17.100000000000001" customHeight="1">
      <c r="A148" s="220"/>
      <c r="B148" s="479"/>
      <c r="C148" s="479"/>
      <c r="D148" s="479"/>
      <c r="E148" s="479"/>
      <c r="F148" s="479"/>
      <c r="G148" s="479"/>
      <c r="H148" s="479"/>
      <c r="I148" s="479"/>
      <c r="J148" s="479"/>
      <c r="K148" s="479"/>
      <c r="L148" s="479"/>
      <c r="M148" s="479"/>
      <c r="N148" s="169"/>
      <c r="O148" s="169"/>
      <c r="P148" s="169"/>
      <c r="Q148" s="169"/>
    </row>
    <row r="149" spans="1:17" ht="17.100000000000001" customHeight="1">
      <c r="A149" s="220"/>
      <c r="B149" s="479"/>
      <c r="C149" s="479"/>
      <c r="D149" s="479"/>
      <c r="E149" s="479"/>
      <c r="F149" s="479"/>
      <c r="G149" s="479"/>
      <c r="H149" s="479"/>
      <c r="I149" s="479"/>
      <c r="J149" s="479"/>
      <c r="K149" s="479"/>
      <c r="L149" s="479"/>
      <c r="M149" s="479"/>
      <c r="N149" s="169"/>
      <c r="O149" s="169"/>
      <c r="P149" s="169"/>
      <c r="Q149" s="169"/>
    </row>
    <row r="150" spans="1:17" ht="17.100000000000001" customHeight="1">
      <c r="A150" s="220"/>
      <c r="B150" s="479"/>
      <c r="C150" s="479"/>
      <c r="D150" s="479"/>
      <c r="E150" s="479"/>
      <c r="F150" s="479"/>
      <c r="G150" s="479"/>
      <c r="H150" s="479"/>
      <c r="I150" s="479"/>
      <c r="J150" s="479"/>
      <c r="K150" s="479"/>
      <c r="L150" s="479"/>
      <c r="M150" s="479"/>
      <c r="N150" s="169"/>
      <c r="O150" s="169"/>
      <c r="P150" s="169"/>
      <c r="Q150" s="169"/>
    </row>
    <row r="151" spans="1:17" ht="17.100000000000001" customHeight="1">
      <c r="A151" s="220"/>
      <c r="B151" s="194"/>
      <c r="C151" s="194"/>
      <c r="D151" s="194"/>
      <c r="E151" s="194"/>
      <c r="F151" s="194"/>
      <c r="G151" s="194"/>
      <c r="H151" s="194"/>
      <c r="I151" s="194"/>
      <c r="J151" s="194"/>
      <c r="K151" s="194"/>
      <c r="L151" s="194"/>
      <c r="M151" s="194"/>
      <c r="N151" s="169"/>
      <c r="O151" s="169"/>
      <c r="P151" s="169"/>
      <c r="Q151" s="169"/>
    </row>
    <row r="152" spans="1:17" ht="17.100000000000001" customHeight="1">
      <c r="A152" s="197"/>
      <c r="B152" s="169" t="s">
        <v>323</v>
      </c>
      <c r="C152" s="172">
        <v>1</v>
      </c>
      <c r="D152" s="172" t="s">
        <v>139</v>
      </c>
      <c r="E152" s="174">
        <v>96.83</v>
      </c>
      <c r="F152" s="172" t="s">
        <v>139</v>
      </c>
      <c r="G152" s="174">
        <v>12</v>
      </c>
      <c r="H152" s="172"/>
      <c r="I152" s="177"/>
      <c r="J152" s="188"/>
      <c r="K152" s="204"/>
      <c r="L152" s="169"/>
      <c r="M152" s="169"/>
      <c r="N152" s="176" t="s">
        <v>140</v>
      </c>
      <c r="O152" s="228">
        <f>+C152*E152*G152</f>
        <v>1161.96</v>
      </c>
      <c r="P152" s="193" t="s">
        <v>157</v>
      </c>
      <c r="Q152" s="169"/>
    </row>
    <row r="153" spans="1:17" ht="17.100000000000001" customHeight="1" thickBot="1">
      <c r="A153" s="197"/>
      <c r="B153" s="169" t="s">
        <v>182</v>
      </c>
      <c r="C153" s="172">
        <v>1</v>
      </c>
      <c r="D153" s="172" t="s">
        <v>139</v>
      </c>
      <c r="E153" s="174">
        <v>2</v>
      </c>
      <c r="F153" s="172" t="s">
        <v>139</v>
      </c>
      <c r="G153" s="174">
        <v>6</v>
      </c>
      <c r="H153" s="172" t="s">
        <v>139</v>
      </c>
      <c r="I153" s="177">
        <v>12</v>
      </c>
      <c r="J153" s="188"/>
      <c r="K153" s="204"/>
      <c r="L153" s="169"/>
      <c r="M153" s="169"/>
      <c r="N153" s="176" t="s">
        <v>140</v>
      </c>
      <c r="O153" s="228">
        <f>+C153*E153*G153*I153</f>
        <v>144</v>
      </c>
      <c r="P153" s="193" t="s">
        <v>157</v>
      </c>
      <c r="Q153" s="169"/>
    </row>
    <row r="154" spans="1:17" ht="17.100000000000001" customHeight="1">
      <c r="A154" s="197"/>
      <c r="B154" s="169"/>
      <c r="C154" s="169"/>
      <c r="D154" s="169"/>
      <c r="E154" s="169"/>
      <c r="F154" s="169"/>
      <c r="G154" s="169"/>
      <c r="H154" s="169"/>
      <c r="I154" s="169"/>
      <c r="J154" s="169"/>
      <c r="K154" s="169"/>
      <c r="L154" s="169"/>
      <c r="M154" s="169"/>
      <c r="N154" s="169"/>
      <c r="O154" s="234">
        <f>SUM(O152:O153)</f>
        <v>1305.96</v>
      </c>
      <c r="P154" s="235" t="s">
        <v>157</v>
      </c>
      <c r="Q154" s="169"/>
    </row>
    <row r="156" spans="1:17" ht="17.100000000000001" customHeight="1">
      <c r="A156" s="168">
        <v>16</v>
      </c>
      <c r="B156" s="467" t="s">
        <v>183</v>
      </c>
      <c r="C156" s="467"/>
      <c r="D156" s="467"/>
      <c r="E156" s="467"/>
      <c r="F156" s="467"/>
      <c r="G156" s="467"/>
      <c r="H156" s="467"/>
      <c r="I156" s="467"/>
      <c r="J156" s="467"/>
      <c r="K156" s="467"/>
      <c r="L156" s="467"/>
      <c r="M156" s="467"/>
    </row>
    <row r="157" spans="1:17" ht="17.100000000000001" customHeight="1">
      <c r="A157" s="168"/>
      <c r="B157" s="467"/>
      <c r="C157" s="467"/>
      <c r="D157" s="467"/>
      <c r="E157" s="467"/>
      <c r="F157" s="467"/>
      <c r="G157" s="467"/>
      <c r="H157" s="467"/>
      <c r="I157" s="467"/>
      <c r="J157" s="467"/>
      <c r="K157" s="467"/>
      <c r="L157" s="467"/>
      <c r="M157" s="467"/>
    </row>
    <row r="158" spans="1:17" ht="17.100000000000001" customHeight="1">
      <c r="A158" s="168"/>
      <c r="B158" s="183"/>
      <c r="C158" s="183"/>
      <c r="D158" s="183"/>
      <c r="E158" s="183"/>
      <c r="F158" s="183"/>
      <c r="G158" s="183"/>
      <c r="H158" s="183"/>
      <c r="I158" s="183"/>
      <c r="J158" s="183"/>
      <c r="K158" s="183"/>
      <c r="L158" s="183"/>
      <c r="M158" s="183"/>
    </row>
    <row r="159" spans="1:17" ht="17.100000000000001" customHeight="1">
      <c r="B159" s="169" t="s">
        <v>324</v>
      </c>
      <c r="C159" s="172">
        <v>1</v>
      </c>
      <c r="D159" s="172" t="s">
        <v>139</v>
      </c>
      <c r="E159" s="174">
        <v>18</v>
      </c>
      <c r="F159" s="172" t="s">
        <v>139</v>
      </c>
      <c r="G159" s="174">
        <v>16</v>
      </c>
      <c r="H159" s="172"/>
      <c r="I159" s="177"/>
      <c r="J159" s="188"/>
      <c r="K159" s="204"/>
      <c r="L159" s="169"/>
      <c r="M159" s="169"/>
      <c r="N159" s="176" t="s">
        <v>140</v>
      </c>
      <c r="O159" s="228">
        <f>+C159*E159*G159</f>
        <v>288</v>
      </c>
      <c r="P159" s="193" t="s">
        <v>157</v>
      </c>
    </row>
    <row r="160" spans="1:17" ht="17.100000000000001" customHeight="1" thickBot="1">
      <c r="O160" s="344">
        <f>SUM(O159:O159)</f>
        <v>288</v>
      </c>
      <c r="P160" s="242" t="s">
        <v>157</v>
      </c>
    </row>
    <row r="161" spans="1:17" ht="17.100000000000001" customHeight="1">
      <c r="F161" s="468"/>
      <c r="G161" s="468"/>
      <c r="H161" s="469"/>
      <c r="I161" s="469"/>
      <c r="J161" s="470"/>
      <c r="K161" s="470"/>
      <c r="L161" s="483"/>
      <c r="M161" s="483"/>
      <c r="N161" s="189"/>
      <c r="O161" s="474"/>
      <c r="P161" s="474"/>
      <c r="Q161" s="209"/>
    </row>
    <row r="162" spans="1:17" ht="17.100000000000001" customHeight="1">
      <c r="A162" s="168">
        <v>17</v>
      </c>
      <c r="B162" s="467" t="s">
        <v>184</v>
      </c>
      <c r="C162" s="467"/>
      <c r="D162" s="467"/>
      <c r="E162" s="467"/>
      <c r="F162" s="467"/>
      <c r="G162" s="467"/>
      <c r="H162" s="467"/>
      <c r="I162" s="467"/>
      <c r="J162" s="467"/>
      <c r="K162" s="467"/>
      <c r="L162" s="467"/>
      <c r="M162" s="467"/>
      <c r="N162" s="176"/>
      <c r="O162" s="188"/>
      <c r="P162" s="169"/>
      <c r="Q162" s="169"/>
    </row>
    <row r="163" spans="1:17" ht="17.100000000000001" customHeight="1">
      <c r="A163" s="168"/>
      <c r="B163" s="467"/>
      <c r="C163" s="467"/>
      <c r="D163" s="467"/>
      <c r="E163" s="467"/>
      <c r="F163" s="467"/>
      <c r="G163" s="467"/>
      <c r="H163" s="467"/>
      <c r="I163" s="467"/>
      <c r="J163" s="467"/>
      <c r="K163" s="467"/>
      <c r="L163" s="467"/>
      <c r="M163" s="467"/>
      <c r="N163" s="176"/>
      <c r="O163" s="188"/>
      <c r="P163" s="169"/>
      <c r="Q163" s="169"/>
    </row>
    <row r="164" spans="1:17" ht="17.100000000000001" customHeight="1">
      <c r="A164" s="168"/>
      <c r="B164" s="238"/>
      <c r="C164" s="238"/>
      <c r="D164" s="238"/>
      <c r="E164" s="238"/>
      <c r="F164" s="238"/>
      <c r="G164" s="238"/>
      <c r="H164" s="238"/>
      <c r="I164" s="238"/>
      <c r="J164" s="238"/>
      <c r="K164" s="238"/>
      <c r="L164" s="238"/>
      <c r="M164" s="238"/>
      <c r="N164" s="176"/>
      <c r="O164" s="188"/>
      <c r="P164" s="169"/>
      <c r="Q164" s="169"/>
    </row>
    <row r="165" spans="1:17" ht="17.100000000000001" customHeight="1">
      <c r="B165" s="194" t="s">
        <v>325</v>
      </c>
      <c r="C165" s="172">
        <v>1</v>
      </c>
      <c r="D165" s="172" t="s">
        <v>139</v>
      </c>
      <c r="E165" s="174">
        <v>2</v>
      </c>
      <c r="F165" s="172" t="s">
        <v>139</v>
      </c>
      <c r="G165" s="227" t="s">
        <v>317</v>
      </c>
      <c r="J165" s="176" t="s">
        <v>139</v>
      </c>
      <c r="K165" s="187">
        <v>5</v>
      </c>
      <c r="N165" s="176" t="s">
        <v>140</v>
      </c>
      <c r="O165" s="241">
        <f>+C165*E165*(18+16)*K165</f>
        <v>340</v>
      </c>
      <c r="P165" s="206" t="s">
        <v>157</v>
      </c>
      <c r="Q165" s="169"/>
    </row>
    <row r="166" spans="1:17" ht="17.100000000000001" customHeight="1" thickBot="1">
      <c r="B166" s="217"/>
      <c r="C166" s="172"/>
      <c r="D166" s="480"/>
      <c r="E166" s="480"/>
      <c r="F166" s="172"/>
      <c r="G166" s="174"/>
      <c r="I166" s="176"/>
      <c r="J166" s="176"/>
      <c r="K166" s="177"/>
      <c r="L166" s="176"/>
      <c r="M166" s="169"/>
      <c r="N166" s="180" t="s">
        <v>140</v>
      </c>
      <c r="O166" s="181">
        <f>SUM(O165)</f>
        <v>340</v>
      </c>
      <c r="P166" s="346" t="s">
        <v>157</v>
      </c>
      <c r="Q166" s="169"/>
    </row>
    <row r="167" spans="1:17" ht="17.100000000000001" customHeight="1">
      <c r="B167" s="217"/>
      <c r="C167" s="172"/>
      <c r="D167" s="172"/>
      <c r="E167" s="172"/>
      <c r="F167" s="172"/>
      <c r="G167" s="174"/>
      <c r="H167" s="172"/>
      <c r="I167" s="177"/>
      <c r="J167" s="176"/>
      <c r="K167" s="187"/>
      <c r="L167" s="176"/>
      <c r="M167" s="169"/>
      <c r="N167" s="180"/>
      <c r="O167" s="188"/>
      <c r="P167" s="193"/>
      <c r="Q167" s="169"/>
    </row>
    <row r="168" spans="1:17" ht="17.100000000000001" customHeight="1">
      <c r="A168" s="168">
        <v>18</v>
      </c>
      <c r="B168" s="467" t="s">
        <v>322</v>
      </c>
      <c r="C168" s="467"/>
      <c r="D168" s="467"/>
      <c r="E168" s="467"/>
      <c r="F168" s="467"/>
      <c r="G168" s="467"/>
      <c r="H168" s="467"/>
      <c r="I168" s="467"/>
      <c r="J168" s="467"/>
      <c r="K168" s="467"/>
      <c r="L168" s="467"/>
      <c r="M168" s="467"/>
    </row>
    <row r="169" spans="1:17" ht="17.100000000000001" customHeight="1">
      <c r="A169" s="168"/>
      <c r="B169" s="467"/>
      <c r="C169" s="467"/>
      <c r="D169" s="467"/>
      <c r="E169" s="467"/>
      <c r="F169" s="467"/>
      <c r="G169" s="467"/>
      <c r="H169" s="467"/>
      <c r="I169" s="467"/>
      <c r="J169" s="467"/>
      <c r="K169" s="467"/>
      <c r="L169" s="467"/>
      <c r="M169" s="467"/>
    </row>
    <row r="170" spans="1:17" ht="17.100000000000001" customHeight="1">
      <c r="B170" s="169" t="s">
        <v>326</v>
      </c>
      <c r="C170" s="172">
        <v>1</v>
      </c>
      <c r="D170" s="172" t="s">
        <v>139</v>
      </c>
      <c r="E170" s="174">
        <v>125</v>
      </c>
      <c r="F170" s="172" t="s">
        <v>139</v>
      </c>
      <c r="G170" s="174">
        <v>60</v>
      </c>
      <c r="H170" s="172"/>
      <c r="I170" s="177"/>
      <c r="J170" s="188"/>
      <c r="K170" s="204"/>
      <c r="L170" s="169"/>
      <c r="M170" s="169"/>
      <c r="N170" s="176" t="s">
        <v>140</v>
      </c>
      <c r="O170" s="228">
        <f>+C170*E170*G170</f>
        <v>7500</v>
      </c>
      <c r="P170" s="193" t="s">
        <v>157</v>
      </c>
    </row>
    <row r="171" spans="1:17" ht="17.100000000000001" customHeight="1">
      <c r="B171" s="169" t="s">
        <v>326</v>
      </c>
      <c r="C171" s="172">
        <v>1</v>
      </c>
      <c r="D171" s="172" t="s">
        <v>139</v>
      </c>
      <c r="E171" s="174">
        <v>125</v>
      </c>
      <c r="F171" s="172" t="s">
        <v>139</v>
      </c>
      <c r="G171" s="174">
        <v>10</v>
      </c>
      <c r="H171" s="172"/>
      <c r="I171" s="177"/>
      <c r="J171" s="188"/>
      <c r="K171" s="204"/>
      <c r="L171" s="169"/>
      <c r="M171" s="169"/>
      <c r="N171" s="176" t="s">
        <v>140</v>
      </c>
      <c r="O171" s="228">
        <f>+C171*E171*G171</f>
        <v>1250</v>
      </c>
      <c r="P171" s="193" t="s">
        <v>157</v>
      </c>
    </row>
    <row r="172" spans="1:17" ht="17.100000000000001" customHeight="1" thickBot="1">
      <c r="B172" s="169" t="s">
        <v>326</v>
      </c>
      <c r="C172" s="172">
        <v>1</v>
      </c>
      <c r="D172" s="172" t="s">
        <v>139</v>
      </c>
      <c r="E172" s="174">
        <v>30</v>
      </c>
      <c r="F172" s="172" t="s">
        <v>139</v>
      </c>
      <c r="G172" s="174">
        <v>25</v>
      </c>
      <c r="H172" s="172"/>
      <c r="I172" s="177"/>
      <c r="J172" s="188"/>
      <c r="K172" s="204"/>
      <c r="L172" s="169"/>
      <c r="M172" s="169"/>
      <c r="N172" s="176" t="s">
        <v>140</v>
      </c>
      <c r="O172" s="228">
        <f>+C172*E172*G172</f>
        <v>750</v>
      </c>
      <c r="P172" s="193" t="s">
        <v>157</v>
      </c>
    </row>
    <row r="173" spans="1:17" ht="17.100000000000001" customHeight="1">
      <c r="B173" s="169"/>
      <c r="C173" s="169"/>
      <c r="D173" s="169"/>
      <c r="E173" s="169"/>
      <c r="F173" s="169"/>
      <c r="G173" s="169"/>
      <c r="H173" s="169"/>
      <c r="I173" s="169"/>
      <c r="J173" s="169"/>
      <c r="K173" s="169"/>
      <c r="L173" s="169"/>
      <c r="M173" s="169"/>
      <c r="N173" s="169"/>
      <c r="O173" s="234">
        <f>SUM(O170:O172)</f>
        <v>9500</v>
      </c>
      <c r="P173" s="235" t="s">
        <v>157</v>
      </c>
    </row>
    <row r="174" spans="1:17" ht="17.100000000000001" customHeight="1">
      <c r="B174" s="230"/>
      <c r="C174" s="169"/>
      <c r="D174" s="216"/>
      <c r="E174" s="169"/>
      <c r="F174" s="169"/>
      <c r="G174" s="169"/>
      <c r="H174" s="172"/>
      <c r="I174" s="203"/>
      <c r="J174" s="203"/>
      <c r="K174" s="199"/>
      <c r="L174" s="176"/>
      <c r="M174" s="187"/>
      <c r="N174" s="176"/>
      <c r="O174" s="178"/>
      <c r="P174" s="193"/>
      <c r="Q174" s="206"/>
    </row>
    <row r="175" spans="1:17" ht="17.100000000000001" customHeight="1">
      <c r="A175" s="220">
        <v>19</v>
      </c>
      <c r="B175" s="479" t="s">
        <v>190</v>
      </c>
      <c r="C175" s="479"/>
      <c r="D175" s="479"/>
      <c r="E175" s="479"/>
      <c r="F175" s="479"/>
      <c r="G175" s="479"/>
      <c r="H175" s="479"/>
      <c r="I175" s="479"/>
      <c r="J175" s="479"/>
      <c r="K175" s="479"/>
      <c r="L175" s="479"/>
      <c r="M175" s="479"/>
      <c r="N175" s="240"/>
      <c r="O175" s="240"/>
      <c r="P175" s="240"/>
      <c r="Q175" s="169"/>
    </row>
    <row r="176" spans="1:17" ht="17.100000000000001" customHeight="1">
      <c r="A176" s="220"/>
      <c r="B176" s="479"/>
      <c r="C176" s="479"/>
      <c r="D176" s="479"/>
      <c r="E176" s="479"/>
      <c r="F176" s="479"/>
      <c r="G176" s="479"/>
      <c r="H176" s="479"/>
      <c r="I176" s="479"/>
      <c r="J176" s="479"/>
      <c r="K176" s="479"/>
      <c r="L176" s="479"/>
      <c r="M176" s="479"/>
      <c r="N176" s="240"/>
      <c r="O176" s="240"/>
      <c r="P176" s="240"/>
      <c r="Q176" s="169"/>
    </row>
    <row r="177" spans="1:17" ht="17.100000000000001" customHeight="1">
      <c r="A177" s="220"/>
      <c r="B177" s="479"/>
      <c r="C177" s="479"/>
      <c r="D177" s="479"/>
      <c r="E177" s="479"/>
      <c r="F177" s="479"/>
      <c r="G177" s="479"/>
      <c r="H177" s="479"/>
      <c r="I177" s="479"/>
      <c r="J177" s="479"/>
      <c r="K177" s="479"/>
      <c r="L177" s="479"/>
      <c r="M177" s="479"/>
      <c r="N177" s="240"/>
      <c r="O177" s="240"/>
      <c r="P177" s="240"/>
      <c r="Q177" s="169"/>
    </row>
    <row r="178" spans="1:17" ht="17.100000000000001" customHeight="1">
      <c r="A178" s="220"/>
      <c r="B178" s="194"/>
      <c r="C178" s="194"/>
      <c r="D178" s="194"/>
      <c r="E178" s="194"/>
      <c r="F178" s="194"/>
      <c r="G178" s="194"/>
      <c r="H178" s="194"/>
      <c r="I178" s="194"/>
      <c r="J178" s="194"/>
      <c r="K178" s="194"/>
      <c r="L178" s="194"/>
      <c r="M178" s="194"/>
      <c r="N178" s="240"/>
      <c r="O178" s="240"/>
      <c r="P178" s="240"/>
      <c r="Q178" s="169"/>
    </row>
    <row r="179" spans="1:17" ht="17.100000000000001" customHeight="1">
      <c r="A179" s="176"/>
      <c r="B179" s="169" t="s">
        <v>186</v>
      </c>
      <c r="C179" s="172">
        <v>1</v>
      </c>
      <c r="D179" s="172" t="s">
        <v>139</v>
      </c>
      <c r="E179" s="174">
        <v>5</v>
      </c>
      <c r="F179" s="172" t="s">
        <v>139</v>
      </c>
      <c r="G179" s="174">
        <v>4</v>
      </c>
      <c r="H179" s="172" t="s">
        <v>139</v>
      </c>
      <c r="I179" s="174">
        <v>7</v>
      </c>
      <c r="J179" s="188"/>
      <c r="M179" s="204"/>
      <c r="N179" s="176" t="s">
        <v>140</v>
      </c>
      <c r="O179" s="178">
        <f>C179*E179*G179*I179</f>
        <v>140</v>
      </c>
      <c r="P179" s="193" t="s">
        <v>157</v>
      </c>
      <c r="Q179" s="169"/>
    </row>
    <row r="180" spans="1:17" ht="17.100000000000001" customHeight="1">
      <c r="A180" s="176"/>
      <c r="B180" s="169" t="s">
        <v>315</v>
      </c>
      <c r="C180" s="172">
        <v>5</v>
      </c>
      <c r="D180" s="172" t="s">
        <v>139</v>
      </c>
      <c r="E180" s="174">
        <v>3</v>
      </c>
      <c r="F180" s="172" t="s">
        <v>139</v>
      </c>
      <c r="G180" s="174">
        <v>4.5</v>
      </c>
      <c r="H180" s="172" t="s">
        <v>139</v>
      </c>
      <c r="I180" s="174">
        <v>4</v>
      </c>
      <c r="J180" s="188"/>
      <c r="M180" s="204"/>
      <c r="N180" s="176" t="s">
        <v>140</v>
      </c>
      <c r="O180" s="178">
        <f>C180*E180*G180*I180</f>
        <v>270</v>
      </c>
      <c r="P180" s="193" t="s">
        <v>157</v>
      </c>
      <c r="Q180" s="169"/>
    </row>
    <row r="181" spans="1:17" ht="17.100000000000001" customHeight="1" thickBot="1">
      <c r="A181" s="176"/>
      <c r="B181" s="169"/>
      <c r="C181" s="169"/>
      <c r="D181" s="169"/>
      <c r="E181" s="169"/>
      <c r="F181" s="169"/>
      <c r="G181" s="169"/>
      <c r="H181" s="169"/>
      <c r="I181" s="169"/>
      <c r="J181" s="169"/>
      <c r="K181" s="169"/>
      <c r="L181" s="169"/>
      <c r="M181" s="169"/>
      <c r="N181" s="169"/>
      <c r="O181" s="181">
        <f>SUM(O179:O180)</f>
        <v>410</v>
      </c>
      <c r="P181" s="242" t="s">
        <v>157</v>
      </c>
    </row>
    <row r="183" spans="1:17" ht="17.100000000000001" customHeight="1">
      <c r="A183" s="168">
        <v>20</v>
      </c>
      <c r="B183" s="479" t="s">
        <v>188</v>
      </c>
      <c r="C183" s="479"/>
      <c r="D183" s="479"/>
      <c r="E183" s="479"/>
      <c r="F183" s="479"/>
      <c r="G183" s="479"/>
      <c r="H183" s="479"/>
      <c r="I183" s="479"/>
      <c r="J183" s="479"/>
      <c r="K183" s="479"/>
      <c r="L183" s="479"/>
      <c r="M183" s="479"/>
      <c r="N183" s="240"/>
      <c r="O183" s="240"/>
      <c r="P183" s="169"/>
      <c r="Q183" s="169"/>
    </row>
    <row r="184" spans="1:17" ht="17.100000000000001" customHeight="1">
      <c r="A184" s="168"/>
      <c r="B184" s="479"/>
      <c r="C184" s="479"/>
      <c r="D184" s="479"/>
      <c r="E184" s="479"/>
      <c r="F184" s="479"/>
      <c r="G184" s="479"/>
      <c r="H184" s="479"/>
      <c r="I184" s="479"/>
      <c r="J184" s="479"/>
      <c r="K184" s="479"/>
      <c r="L184" s="479"/>
      <c r="M184" s="479"/>
      <c r="N184" s="240"/>
      <c r="O184" s="240"/>
      <c r="P184" s="169"/>
      <c r="Q184" s="169"/>
    </row>
    <row r="185" spans="1:17" ht="17.100000000000001" customHeight="1">
      <c r="A185" s="168"/>
      <c r="B185" s="194"/>
      <c r="C185" s="194"/>
      <c r="D185" s="194"/>
      <c r="E185" s="194"/>
      <c r="F185" s="194"/>
      <c r="G185" s="194"/>
      <c r="H185" s="194"/>
      <c r="I185" s="194"/>
      <c r="J185" s="194"/>
      <c r="K185" s="194"/>
      <c r="L185" s="194"/>
      <c r="M185" s="194"/>
      <c r="N185" s="240"/>
      <c r="O185" s="240"/>
      <c r="P185" s="169"/>
      <c r="Q185" s="169"/>
    </row>
    <row r="186" spans="1:17" ht="17.100000000000001" customHeight="1" thickBot="1">
      <c r="B186" s="169" t="s">
        <v>189</v>
      </c>
      <c r="C186" s="222">
        <v>6</v>
      </c>
      <c r="D186" s="172" t="s">
        <v>139</v>
      </c>
      <c r="E186" s="174">
        <v>3</v>
      </c>
      <c r="F186" s="172" t="s">
        <v>139</v>
      </c>
      <c r="G186" s="177">
        <v>4.5</v>
      </c>
      <c r="H186" s="172" t="s">
        <v>139</v>
      </c>
      <c r="I186" s="177">
        <v>4</v>
      </c>
      <c r="J186" s="188"/>
      <c r="K186" s="199"/>
      <c r="L186" s="169"/>
      <c r="M186" s="169"/>
      <c r="N186" s="176" t="s">
        <v>140</v>
      </c>
      <c r="O186" s="228">
        <f>+C186*E186*G186*I186</f>
        <v>324</v>
      </c>
      <c r="P186" s="193" t="s">
        <v>157</v>
      </c>
      <c r="Q186" s="169"/>
    </row>
    <row r="187" spans="1:17" ht="17.100000000000001" customHeight="1">
      <c r="B187" s="169"/>
      <c r="C187" s="169"/>
      <c r="D187" s="169"/>
      <c r="E187" s="169"/>
      <c r="F187" s="169"/>
      <c r="G187" s="169"/>
      <c r="H187" s="169"/>
      <c r="I187" s="169"/>
      <c r="J187" s="169"/>
      <c r="K187" s="169"/>
      <c r="L187" s="169"/>
      <c r="M187" s="169"/>
      <c r="N187" s="169"/>
      <c r="O187" s="234">
        <f>SUM(O186:O186)</f>
        <v>324</v>
      </c>
      <c r="P187" s="235" t="s">
        <v>157</v>
      </c>
      <c r="Q187" s="169"/>
    </row>
    <row r="188" spans="1:17" ht="17.100000000000001" customHeight="1">
      <c r="B188" s="169"/>
      <c r="C188" s="169"/>
      <c r="D188" s="169"/>
      <c r="E188" s="169"/>
      <c r="F188" s="210"/>
      <c r="G188" s="210"/>
      <c r="H188" s="132"/>
      <c r="I188" s="132"/>
      <c r="J188" s="211"/>
      <c r="K188" s="211"/>
      <c r="L188" s="189"/>
      <c r="M188" s="189"/>
      <c r="N188" s="189"/>
      <c r="O188" s="212"/>
      <c r="P188" s="212"/>
      <c r="Q188" s="209"/>
    </row>
    <row r="189" spans="1:17" ht="17.100000000000001" customHeight="1">
      <c r="A189" s="220">
        <v>21</v>
      </c>
      <c r="B189" s="479" t="s">
        <v>191</v>
      </c>
      <c r="C189" s="479"/>
      <c r="D189" s="479"/>
      <c r="E189" s="479"/>
      <c r="F189" s="479"/>
      <c r="G189" s="479"/>
      <c r="H189" s="479"/>
      <c r="I189" s="479"/>
      <c r="J189" s="479"/>
      <c r="K189" s="479"/>
      <c r="L189" s="479"/>
      <c r="M189" s="479"/>
      <c r="N189" s="479"/>
      <c r="O189" s="479"/>
      <c r="P189" s="479"/>
    </row>
    <row r="190" spans="1:17" ht="17.100000000000001" customHeight="1">
      <c r="A190" s="220"/>
      <c r="B190" s="194"/>
      <c r="C190" s="194"/>
      <c r="D190" s="194"/>
      <c r="E190" s="194"/>
      <c r="F190" s="194"/>
      <c r="G190" s="194"/>
      <c r="H190" s="194"/>
      <c r="I190" s="194"/>
      <c r="J190" s="194"/>
      <c r="K190" s="194"/>
      <c r="L190" s="194"/>
      <c r="M190" s="194"/>
      <c r="N190" s="194"/>
      <c r="O190" s="194"/>
      <c r="P190" s="194"/>
    </row>
    <row r="191" spans="1:17" ht="17.100000000000001" customHeight="1">
      <c r="B191" s="169" t="s">
        <v>330</v>
      </c>
      <c r="C191" s="169"/>
      <c r="D191" s="169"/>
      <c r="E191" s="169"/>
      <c r="F191" s="169"/>
      <c r="G191" s="219">
        <f>O123</f>
        <v>9427.92</v>
      </c>
      <c r="H191" s="176"/>
      <c r="I191" s="187"/>
      <c r="J191" s="169"/>
      <c r="K191" s="169"/>
      <c r="L191" s="169"/>
      <c r="M191" s="169"/>
      <c r="N191" s="180" t="s">
        <v>140</v>
      </c>
      <c r="O191" s="178">
        <f>G191</f>
        <v>9427.92</v>
      </c>
      <c r="P191" s="206" t="s">
        <v>157</v>
      </c>
    </row>
    <row r="192" spans="1:17" ht="17.100000000000001" customHeight="1">
      <c r="B192" s="169" t="s">
        <v>329</v>
      </c>
      <c r="C192" s="169"/>
      <c r="D192" s="169"/>
      <c r="E192" s="169"/>
      <c r="F192" s="169"/>
      <c r="G192" s="219">
        <f>O144</f>
        <v>1855.6</v>
      </c>
      <c r="H192" s="176"/>
      <c r="I192" s="187"/>
      <c r="J192" s="169"/>
      <c r="K192" s="169"/>
      <c r="L192" s="169"/>
      <c r="M192" s="169"/>
      <c r="N192" s="180" t="s">
        <v>140</v>
      </c>
      <c r="O192" s="178">
        <f>G192</f>
        <v>1855.6</v>
      </c>
      <c r="P192" s="206" t="s">
        <v>157</v>
      </c>
    </row>
    <row r="193" spans="1:17" ht="17.100000000000001" customHeight="1" thickBot="1">
      <c r="B193" s="169"/>
      <c r="C193" s="169"/>
      <c r="D193" s="169"/>
      <c r="E193" s="169"/>
      <c r="F193" s="169"/>
      <c r="G193" s="169"/>
      <c r="H193" s="169"/>
      <c r="I193" s="169"/>
      <c r="J193" s="169"/>
      <c r="K193" s="169"/>
      <c r="L193" s="169"/>
      <c r="M193" s="169"/>
      <c r="N193" s="169"/>
      <c r="O193" s="181">
        <f>SUM(O191:O191)</f>
        <v>9427.92</v>
      </c>
      <c r="P193" s="242" t="s">
        <v>157</v>
      </c>
    </row>
    <row r="194" spans="1:17" ht="17.100000000000001" customHeight="1">
      <c r="B194" s="169"/>
      <c r="C194" s="169"/>
      <c r="D194" s="169"/>
      <c r="E194" s="169"/>
      <c r="F194" s="169"/>
      <c r="G194" s="169"/>
      <c r="H194" s="169"/>
      <c r="I194" s="169"/>
      <c r="J194" s="169"/>
      <c r="K194" s="169"/>
      <c r="L194" s="169"/>
      <c r="M194" s="169"/>
      <c r="N194" s="169"/>
      <c r="O194" s="239"/>
      <c r="P194" s="237"/>
    </row>
    <row r="195" spans="1:17" ht="17.100000000000001" customHeight="1">
      <c r="A195" s="220">
        <v>22</v>
      </c>
      <c r="B195" s="488" t="s">
        <v>192</v>
      </c>
      <c r="C195" s="488"/>
      <c r="D195" s="488"/>
      <c r="E195" s="488"/>
      <c r="F195" s="488"/>
      <c r="G195" s="488"/>
      <c r="H195" s="488"/>
      <c r="I195" s="488"/>
      <c r="J195" s="488"/>
      <c r="K195" s="488"/>
      <c r="L195" s="488"/>
      <c r="M195" s="488"/>
      <c r="N195" s="189"/>
      <c r="O195" s="212"/>
      <c r="P195" s="212"/>
      <c r="Q195" s="209"/>
    </row>
    <row r="196" spans="1:17" ht="17.100000000000001" customHeight="1">
      <c r="A196" s="220"/>
      <c r="B196" s="238"/>
      <c r="C196" s="238"/>
      <c r="D196" s="238"/>
      <c r="E196" s="238"/>
      <c r="F196" s="238"/>
      <c r="G196" s="238"/>
      <c r="H196" s="238"/>
      <c r="I196" s="238"/>
      <c r="J196" s="238"/>
      <c r="K196" s="238"/>
      <c r="L196" s="238"/>
      <c r="M196" s="238"/>
      <c r="N196" s="189"/>
      <c r="O196" s="212"/>
      <c r="P196" s="212"/>
      <c r="Q196" s="209"/>
    </row>
    <row r="197" spans="1:17" ht="17.100000000000001" customHeight="1" thickBot="1">
      <c r="A197" s="176"/>
      <c r="B197" s="169" t="s">
        <v>328</v>
      </c>
      <c r="C197" s="169"/>
      <c r="D197" s="169"/>
      <c r="E197" s="169"/>
      <c r="F197" s="169"/>
      <c r="G197" s="169"/>
      <c r="H197" s="169"/>
      <c r="I197" s="169"/>
      <c r="J197" s="169"/>
      <c r="K197" s="169"/>
      <c r="L197" s="169"/>
      <c r="M197" s="169"/>
      <c r="N197" s="180" t="s">
        <v>140</v>
      </c>
      <c r="O197" s="181">
        <f>O193</f>
        <v>9427.92</v>
      </c>
      <c r="P197" s="196" t="s">
        <v>157</v>
      </c>
      <c r="Q197" s="206"/>
    </row>
    <row r="198" spans="1:17" ht="17.100000000000001" customHeight="1">
      <c r="A198" s="176"/>
      <c r="B198" s="169"/>
      <c r="C198" s="169"/>
      <c r="D198" s="169"/>
      <c r="E198" s="169"/>
      <c r="F198" s="169"/>
      <c r="G198" s="169"/>
      <c r="H198" s="169"/>
      <c r="I198" s="169"/>
      <c r="J198" s="169"/>
      <c r="K198" s="169"/>
      <c r="L198" s="169"/>
      <c r="M198" s="169"/>
      <c r="N198" s="169"/>
      <c r="O198" s="169"/>
      <c r="P198" s="169"/>
      <c r="Q198" s="206"/>
    </row>
    <row r="199" spans="1:17" ht="17.100000000000001" customHeight="1">
      <c r="A199" s="220">
        <v>23</v>
      </c>
      <c r="B199" s="467" t="s">
        <v>193</v>
      </c>
      <c r="C199" s="467"/>
      <c r="D199" s="467"/>
      <c r="E199" s="467"/>
      <c r="F199" s="467"/>
      <c r="G199" s="467"/>
      <c r="H199" s="467"/>
      <c r="I199" s="467"/>
      <c r="J199" s="467"/>
      <c r="K199" s="467"/>
      <c r="L199" s="467"/>
      <c r="M199" s="467"/>
      <c r="N199" s="189"/>
      <c r="O199" s="212"/>
      <c r="P199" s="212"/>
      <c r="Q199" s="209"/>
    </row>
    <row r="200" spans="1:17" ht="17.100000000000001" customHeight="1">
      <c r="A200" s="220"/>
      <c r="B200" s="467"/>
      <c r="C200" s="467"/>
      <c r="D200" s="467"/>
      <c r="E200" s="467"/>
      <c r="F200" s="467"/>
      <c r="G200" s="467"/>
      <c r="H200" s="467"/>
      <c r="I200" s="467"/>
      <c r="J200" s="467"/>
      <c r="K200" s="467"/>
      <c r="L200" s="467"/>
      <c r="M200" s="467"/>
      <c r="N200" s="189"/>
      <c r="O200" s="212"/>
      <c r="P200" s="212"/>
      <c r="Q200" s="209"/>
    </row>
    <row r="201" spans="1:17" ht="17.100000000000001" customHeight="1">
      <c r="A201" s="220"/>
      <c r="B201" s="183"/>
      <c r="C201" s="183"/>
      <c r="D201" s="183"/>
      <c r="E201" s="183"/>
      <c r="F201" s="183"/>
      <c r="G201" s="183"/>
      <c r="H201" s="183"/>
      <c r="I201" s="183"/>
      <c r="J201" s="183"/>
      <c r="K201" s="183"/>
      <c r="L201" s="183"/>
      <c r="M201" s="183"/>
      <c r="N201" s="189"/>
      <c r="O201" s="212"/>
      <c r="P201" s="212"/>
      <c r="Q201" s="209"/>
    </row>
    <row r="202" spans="1:17" ht="17.100000000000001" customHeight="1" thickBot="1">
      <c r="A202" s="220"/>
      <c r="B202" s="484" t="s">
        <v>327</v>
      </c>
      <c r="C202" s="484"/>
      <c r="D202" s="484"/>
      <c r="E202" s="484"/>
      <c r="F202" s="484"/>
      <c r="G202" s="219">
        <f>O181</f>
        <v>410</v>
      </c>
      <c r="H202" s="176" t="s">
        <v>139</v>
      </c>
      <c r="I202" s="187">
        <v>2</v>
      </c>
      <c r="J202" s="169"/>
      <c r="K202" s="169"/>
      <c r="L202" s="169"/>
      <c r="M202" s="169"/>
      <c r="N202" s="180" t="s">
        <v>140</v>
      </c>
      <c r="O202" s="213">
        <f>G202*I202</f>
        <v>820</v>
      </c>
      <c r="P202" s="214" t="s">
        <v>157</v>
      </c>
      <c r="Q202" s="209"/>
    </row>
    <row r="203" spans="1:17" ht="17.100000000000001" customHeight="1">
      <c r="A203" s="220"/>
      <c r="B203" s="169"/>
      <c r="C203" s="169"/>
      <c r="D203" s="169"/>
      <c r="E203" s="169"/>
      <c r="F203" s="169"/>
      <c r="G203" s="169"/>
      <c r="H203" s="169"/>
      <c r="I203" s="169"/>
      <c r="J203" s="169"/>
      <c r="K203" s="169"/>
      <c r="L203" s="169"/>
      <c r="M203" s="169"/>
      <c r="N203" s="169"/>
      <c r="O203" s="239">
        <f>SUM(O202:O202)</f>
        <v>820</v>
      </c>
      <c r="P203" s="243" t="s">
        <v>157</v>
      </c>
      <c r="Q203" s="206"/>
    </row>
    <row r="205" spans="1:17" ht="17.100000000000001" customHeight="1">
      <c r="A205" s="197"/>
    </row>
    <row r="206" spans="1:17" ht="17.100000000000001" customHeight="1">
      <c r="A206" s="197"/>
    </row>
    <row r="207" spans="1:17" ht="17.100000000000001" customHeight="1">
      <c r="A207" s="245"/>
      <c r="B207" s="246"/>
      <c r="C207" s="247"/>
      <c r="D207" s="247"/>
      <c r="E207" s="248"/>
      <c r="F207" s="248"/>
      <c r="G207" s="247"/>
      <c r="H207" s="247"/>
    </row>
    <row r="208" spans="1:17" ht="17.100000000000001" customHeight="1">
      <c r="A208" s="245" t="s">
        <v>194</v>
      </c>
      <c r="B208" s="246"/>
      <c r="C208" s="247"/>
      <c r="D208" s="247"/>
      <c r="E208" s="248"/>
      <c r="F208" s="248"/>
      <c r="G208" s="247"/>
      <c r="H208" s="247"/>
    </row>
    <row r="209" spans="1:8" ht="17.100000000000001" customHeight="1">
      <c r="A209" s="249"/>
      <c r="B209" s="246"/>
      <c r="C209" s="247"/>
      <c r="D209" s="247"/>
      <c r="E209" s="248"/>
      <c r="F209" s="248"/>
      <c r="G209" s="247"/>
      <c r="H209" s="247"/>
    </row>
    <row r="210" spans="1:8" ht="17.100000000000001" customHeight="1">
      <c r="A210" s="249"/>
      <c r="B210" s="246"/>
      <c r="C210" s="247"/>
      <c r="D210" s="247"/>
      <c r="E210" s="248"/>
      <c r="F210" s="248"/>
      <c r="G210" s="247"/>
      <c r="H210" s="247"/>
    </row>
    <row r="211" spans="1:8" ht="17.100000000000001" customHeight="1">
      <c r="A211" s="249"/>
      <c r="B211" s="246"/>
      <c r="C211" s="247"/>
      <c r="D211" s="247"/>
      <c r="E211" s="248"/>
      <c r="F211" s="248"/>
      <c r="G211" s="247"/>
      <c r="H211" s="247"/>
    </row>
    <row r="212" spans="1:8" ht="17.100000000000001" customHeight="1">
      <c r="A212" s="249"/>
      <c r="B212" s="246"/>
      <c r="C212" s="250"/>
      <c r="D212" s="250"/>
      <c r="E212" s="248"/>
      <c r="F212" s="248"/>
      <c r="G212" s="250"/>
      <c r="H212" s="250"/>
    </row>
    <row r="213" spans="1:8" ht="17.100000000000001" customHeight="1">
      <c r="A213" s="197"/>
    </row>
  </sheetData>
  <mergeCells count="81">
    <mergeCell ref="B195:M195"/>
    <mergeCell ref="B202:F202"/>
    <mergeCell ref="B199:M200"/>
    <mergeCell ref="B55:N55"/>
    <mergeCell ref="B63:M67"/>
    <mergeCell ref="B103:M104"/>
    <mergeCell ref="B130:M131"/>
    <mergeCell ref="B146:M150"/>
    <mergeCell ref="B80:M82"/>
    <mergeCell ref="B88:M89"/>
    <mergeCell ref="J62:K62"/>
    <mergeCell ref="H62:I62"/>
    <mergeCell ref="F62:G62"/>
    <mergeCell ref="B156:M157"/>
    <mergeCell ref="B162:M163"/>
    <mergeCell ref="B168:M169"/>
    <mergeCell ref="F145:G145"/>
    <mergeCell ref="H145:I145"/>
    <mergeCell ref="J145:K145"/>
    <mergeCell ref="L145:M145"/>
    <mergeCell ref="O145:P145"/>
    <mergeCell ref="B189:P189"/>
    <mergeCell ref="B183:M184"/>
    <mergeCell ref="D166:E166"/>
    <mergeCell ref="F161:G161"/>
    <mergeCell ref="H161:I161"/>
    <mergeCell ref="J161:K161"/>
    <mergeCell ref="L161:M161"/>
    <mergeCell ref="O161:P161"/>
    <mergeCell ref="B175:M177"/>
    <mergeCell ref="B136:M137"/>
    <mergeCell ref="F129:G129"/>
    <mergeCell ref="H129:I129"/>
    <mergeCell ref="J129:K129"/>
    <mergeCell ref="L129:M129"/>
    <mergeCell ref="B98:M98"/>
    <mergeCell ref="D101:F101"/>
    <mergeCell ref="D117:H117"/>
    <mergeCell ref="I117:J117"/>
    <mergeCell ref="F135:G135"/>
    <mergeCell ref="H135:I135"/>
    <mergeCell ref="J135:K135"/>
    <mergeCell ref="L135:M135"/>
    <mergeCell ref="B119:P119"/>
    <mergeCell ref="E123:G123"/>
    <mergeCell ref="I123:J123"/>
    <mergeCell ref="B125:M125"/>
    <mergeCell ref="B126:G126"/>
    <mergeCell ref="O135:P135"/>
    <mergeCell ref="O129:P129"/>
    <mergeCell ref="C2:P4"/>
    <mergeCell ref="B6:P6"/>
    <mergeCell ref="O87:P87"/>
    <mergeCell ref="F97:G97"/>
    <mergeCell ref="H97:I97"/>
    <mergeCell ref="J97:K97"/>
    <mergeCell ref="O97:P97"/>
    <mergeCell ref="C84:E84"/>
    <mergeCell ref="C85:E85"/>
    <mergeCell ref="G85:I85"/>
    <mergeCell ref="F87:G87"/>
    <mergeCell ref="H87:I87"/>
    <mergeCell ref="J87:K87"/>
    <mergeCell ref="L87:M87"/>
    <mergeCell ref="O62:P62"/>
    <mergeCell ref="O54:P54"/>
    <mergeCell ref="B10:M11"/>
    <mergeCell ref="B16:M16"/>
    <mergeCell ref="B46:N46"/>
    <mergeCell ref="F54:G54"/>
    <mergeCell ref="H54:I54"/>
    <mergeCell ref="J54:K54"/>
    <mergeCell ref="B37:N38"/>
    <mergeCell ref="A7:A8"/>
    <mergeCell ref="B7:B8"/>
    <mergeCell ref="C7:N7"/>
    <mergeCell ref="O7:P8"/>
    <mergeCell ref="C8:F8"/>
    <mergeCell ref="G8:H8"/>
    <mergeCell ref="I8:J8"/>
    <mergeCell ref="K8:N8"/>
  </mergeCells>
  <pageMargins left="0.45" right="0.2" top="0.5" bottom="0.25" header="0.3" footer="0.3"/>
  <pageSetup orientation="portrait" horizontalDpi="0" verticalDpi="0" r:id="rId1"/>
  <headerFooter>
    <oddHeader>&amp;R&amp;P</oddHeader>
  </headerFooter>
  <drawing r:id="rId2"/>
</worksheet>
</file>

<file path=xl/worksheets/sheet12.xml><?xml version="1.0" encoding="utf-8"?>
<worksheet xmlns="http://schemas.openxmlformats.org/spreadsheetml/2006/main" xmlns:r="http://schemas.openxmlformats.org/officeDocument/2006/relationships">
  <dimension ref="A1:X52"/>
  <sheetViews>
    <sheetView topLeftCell="A2" workbookViewId="0">
      <selection activeCell="R10" sqref="A1:XFD1048576"/>
    </sheetView>
  </sheetViews>
  <sheetFormatPr defaultRowHeight="12.75"/>
  <cols>
    <col min="1" max="8" width="4.7109375" style="250" customWidth="1"/>
    <col min="9" max="16" width="8.7109375" style="250" customWidth="1"/>
    <col min="17" max="16384" width="9.140625" style="250"/>
  </cols>
  <sheetData>
    <row r="1" spans="1:21" ht="20.25">
      <c r="A1" s="494" t="s">
        <v>197</v>
      </c>
      <c r="B1" s="494"/>
      <c r="C1" s="494"/>
      <c r="D1" s="494"/>
      <c r="E1" s="494"/>
      <c r="F1" s="494"/>
      <c r="G1" s="494"/>
      <c r="H1" s="494"/>
      <c r="I1" s="494"/>
      <c r="J1" s="494"/>
      <c r="K1" s="494"/>
      <c r="L1" s="494"/>
      <c r="M1" s="494"/>
      <c r="N1" s="494"/>
      <c r="O1" s="494"/>
      <c r="P1" s="494"/>
    </row>
    <row r="2" spans="1:21" ht="20.25">
      <c r="A2" s="251"/>
      <c r="B2" s="251"/>
      <c r="C2" s="251"/>
      <c r="D2" s="251"/>
      <c r="E2" s="251"/>
      <c r="F2" s="251"/>
      <c r="G2" s="251"/>
      <c r="H2" s="251"/>
      <c r="I2" s="251"/>
      <c r="J2" s="251"/>
      <c r="K2" s="251"/>
      <c r="L2" s="251"/>
      <c r="M2" s="251"/>
      <c r="N2" s="251"/>
      <c r="O2" s="251"/>
      <c r="P2" s="251"/>
    </row>
    <row r="3" spans="1:21" ht="15.75">
      <c r="A3" s="252"/>
      <c r="B3" s="495" t="s">
        <v>198</v>
      </c>
      <c r="C3" s="495"/>
      <c r="D3" s="495"/>
      <c r="E3" s="495"/>
      <c r="G3" s="495" t="str">
        <f>Estimate.!C2</f>
        <v>Rehbalitation , Improvement / Renovation &amp; provision for Missing Facilities existing primary / Elementary school at GBPS. Saeedpur Taluka B.S.Karim District Tando Mohammad Khan.</v>
      </c>
      <c r="H3" s="495"/>
      <c r="I3" s="495"/>
      <c r="J3" s="495"/>
      <c r="K3" s="495"/>
      <c r="L3" s="495"/>
      <c r="M3" s="495"/>
      <c r="N3" s="495"/>
      <c r="O3" s="495"/>
      <c r="P3" s="495"/>
      <c r="Q3" s="253"/>
      <c r="R3" s="132"/>
      <c r="S3" s="132"/>
      <c r="T3" s="132"/>
      <c r="U3" s="132"/>
    </row>
    <row r="4" spans="1:21" ht="15.75">
      <c r="A4" s="252"/>
      <c r="B4" s="254"/>
      <c r="C4" s="254"/>
      <c r="D4" s="254"/>
      <c r="E4" s="255"/>
      <c r="F4" s="256"/>
      <c r="G4" s="495"/>
      <c r="H4" s="495"/>
      <c r="I4" s="495"/>
      <c r="J4" s="495"/>
      <c r="K4" s="495"/>
      <c r="L4" s="495"/>
      <c r="M4" s="495"/>
      <c r="N4" s="495"/>
      <c r="O4" s="495"/>
      <c r="P4" s="495"/>
      <c r="Q4" s="253"/>
      <c r="R4" s="132"/>
      <c r="S4" s="132"/>
      <c r="T4" s="132"/>
      <c r="U4" s="132"/>
    </row>
    <row r="5" spans="1:21" ht="15.75">
      <c r="A5" s="252"/>
      <c r="B5" s="254"/>
      <c r="C5" s="254"/>
      <c r="D5" s="254"/>
      <c r="E5" s="255"/>
      <c r="F5" s="256"/>
      <c r="G5" s="495"/>
      <c r="H5" s="495"/>
      <c r="I5" s="495"/>
      <c r="J5" s="495"/>
      <c r="K5" s="495"/>
      <c r="L5" s="495"/>
      <c r="M5" s="495"/>
      <c r="N5" s="495"/>
      <c r="O5" s="495"/>
      <c r="P5" s="495"/>
      <c r="Q5" s="253"/>
      <c r="R5" s="132"/>
      <c r="S5" s="132"/>
      <c r="T5" s="132"/>
      <c r="U5" s="132"/>
    </row>
    <row r="6" spans="1:21" ht="13.5" thickBot="1">
      <c r="A6" s="252"/>
      <c r="B6" s="252"/>
      <c r="C6" s="252"/>
      <c r="D6" s="252"/>
      <c r="E6" s="252"/>
      <c r="F6" s="252"/>
      <c r="G6" s="252"/>
      <c r="H6" s="252"/>
      <c r="I6" s="252"/>
      <c r="J6" s="252"/>
      <c r="K6" s="252"/>
      <c r="L6" s="252"/>
      <c r="M6" s="252"/>
      <c r="N6" s="252"/>
      <c r="O6" s="252"/>
      <c r="P6" s="252"/>
    </row>
    <row r="7" spans="1:21" ht="48" thickBot="1">
      <c r="A7" s="257" t="s">
        <v>199</v>
      </c>
      <c r="B7" s="496" t="s">
        <v>200</v>
      </c>
      <c r="C7" s="496"/>
      <c r="D7" s="496"/>
      <c r="E7" s="496"/>
      <c r="F7" s="496"/>
      <c r="G7" s="496"/>
      <c r="H7" s="497"/>
      <c r="I7" s="258" t="s">
        <v>201</v>
      </c>
      <c r="J7" s="258" t="s">
        <v>202</v>
      </c>
      <c r="K7" s="258" t="s">
        <v>203</v>
      </c>
      <c r="L7" s="258" t="s">
        <v>204</v>
      </c>
      <c r="M7" s="258" t="s">
        <v>205</v>
      </c>
      <c r="N7" s="258" t="s">
        <v>206</v>
      </c>
      <c r="O7" s="258" t="s">
        <v>207</v>
      </c>
      <c r="P7" s="258" t="s">
        <v>208</v>
      </c>
    </row>
    <row r="8" spans="1:21" ht="15">
      <c r="A8" s="259" t="s">
        <v>209</v>
      </c>
      <c r="B8" s="498" t="s">
        <v>210</v>
      </c>
      <c r="C8" s="499"/>
      <c r="D8" s="499"/>
      <c r="E8" s="499"/>
      <c r="F8" s="499"/>
      <c r="G8" s="499"/>
      <c r="H8" s="500"/>
      <c r="I8" s="260">
        <f>Estimate.!O53</f>
        <v>5554.9134519999998</v>
      </c>
      <c r="J8" s="260">
        <f>I8*9.6/100</f>
        <v>533.27169139199998</v>
      </c>
      <c r="K8" s="260">
        <f>I8*48/100</f>
        <v>2666.3584569599998</v>
      </c>
      <c r="L8" s="260">
        <f>I8*96/100</f>
        <v>5332.7169139199996</v>
      </c>
      <c r="M8" s="261"/>
      <c r="N8" s="261"/>
      <c r="O8" s="261"/>
      <c r="P8" s="262"/>
    </row>
    <row r="9" spans="1:21" ht="15">
      <c r="A9" s="259" t="s">
        <v>211</v>
      </c>
      <c r="B9" s="491" t="s">
        <v>212</v>
      </c>
      <c r="C9" s="492"/>
      <c r="D9" s="492"/>
      <c r="E9" s="492"/>
      <c r="F9" s="492"/>
      <c r="G9" s="492"/>
      <c r="H9" s="493"/>
      <c r="I9" s="260">
        <f>Estimate.!O78</f>
        <v>3164.5455499999998</v>
      </c>
      <c r="J9" s="260">
        <f>I9*19.1/100</f>
        <v>604.42820004999999</v>
      </c>
      <c r="K9" s="260">
        <f>I9*48/100</f>
        <v>1518.9818640000001</v>
      </c>
      <c r="L9" s="261"/>
      <c r="M9" s="260">
        <f>I9*88/100</f>
        <v>2784.800084</v>
      </c>
      <c r="N9" s="261"/>
      <c r="O9" s="261"/>
      <c r="P9" s="262"/>
    </row>
    <row r="10" spans="1:21" ht="15">
      <c r="A10" s="259" t="s">
        <v>213</v>
      </c>
      <c r="B10" s="491" t="s">
        <v>214</v>
      </c>
      <c r="C10" s="492"/>
      <c r="D10" s="492"/>
      <c r="E10" s="492"/>
      <c r="F10" s="492"/>
      <c r="G10" s="492"/>
      <c r="H10" s="493"/>
      <c r="I10" s="260">
        <f>Estimate.!O86</f>
        <v>155.40179040178572</v>
      </c>
      <c r="J10" s="260"/>
      <c r="K10" s="260"/>
      <c r="L10" s="261"/>
      <c r="M10" s="261"/>
      <c r="N10" s="261">
        <f>I10/20</f>
        <v>7.7700895200892859</v>
      </c>
      <c r="O10" s="261"/>
      <c r="P10" s="262"/>
    </row>
    <row r="11" spans="1:21" ht="15">
      <c r="A11" s="259" t="s">
        <v>215</v>
      </c>
      <c r="B11" s="491" t="s">
        <v>216</v>
      </c>
      <c r="C11" s="492"/>
      <c r="D11" s="492"/>
      <c r="E11" s="492"/>
      <c r="F11" s="492"/>
      <c r="G11" s="492"/>
      <c r="H11" s="493"/>
      <c r="I11" s="260">
        <f>Estimate.!O61+Estimate.!O117</f>
        <v>5931.2738500000005</v>
      </c>
      <c r="J11" s="260">
        <f>I11*3.44/100</f>
        <v>204.03582044000004</v>
      </c>
      <c r="K11" s="260">
        <f>I11*25.7/100</f>
        <v>1524.3373794500001</v>
      </c>
      <c r="L11" s="261"/>
      <c r="M11" s="261"/>
      <c r="N11" s="261"/>
      <c r="O11" s="260">
        <f>I11*1350/1000</f>
        <v>8007.2196975000006</v>
      </c>
      <c r="P11" s="262"/>
    </row>
    <row r="12" spans="1:21" ht="15">
      <c r="A12" s="259" t="s">
        <v>217</v>
      </c>
      <c r="B12" s="491" t="s">
        <v>218</v>
      </c>
      <c r="C12" s="492"/>
      <c r="D12" s="492"/>
      <c r="E12" s="492"/>
      <c r="F12" s="492"/>
      <c r="G12" s="492"/>
      <c r="H12" s="493"/>
      <c r="I12" s="260">
        <v>0</v>
      </c>
      <c r="J12" s="260">
        <f>I12*17.6/100</f>
        <v>0</v>
      </c>
      <c r="K12" s="260">
        <f>I12*44/100</f>
        <v>0</v>
      </c>
      <c r="L12" s="261"/>
      <c r="M12" s="260">
        <f>I12*88/100</f>
        <v>0</v>
      </c>
      <c r="N12" s="261"/>
      <c r="O12" s="261"/>
      <c r="P12" s="262"/>
    </row>
    <row r="13" spans="1:21" ht="15">
      <c r="A13" s="259" t="s">
        <v>219</v>
      </c>
      <c r="B13" s="491" t="s">
        <v>220</v>
      </c>
      <c r="C13" s="492"/>
      <c r="D13" s="492"/>
      <c r="E13" s="492"/>
      <c r="F13" s="492"/>
      <c r="G13" s="492"/>
      <c r="H13" s="493"/>
      <c r="I13" s="260">
        <f>Estimate.!O123</f>
        <v>9427.92</v>
      </c>
      <c r="J13" s="260">
        <f>I13*0.53/100</f>
        <v>49.967976</v>
      </c>
      <c r="K13" s="260">
        <f>I13*4/100</f>
        <v>377.11680000000001</v>
      </c>
      <c r="L13" s="261"/>
      <c r="M13" s="261"/>
      <c r="N13" s="261"/>
      <c r="O13" s="261"/>
      <c r="P13" s="262"/>
    </row>
    <row r="14" spans="1:21" ht="15">
      <c r="A14" s="259" t="s">
        <v>221</v>
      </c>
      <c r="B14" s="491" t="s">
        <v>222</v>
      </c>
      <c r="C14" s="492"/>
      <c r="D14" s="492"/>
      <c r="E14" s="492"/>
      <c r="F14" s="492"/>
      <c r="G14" s="492"/>
      <c r="H14" s="493"/>
      <c r="I14" s="260">
        <f>Estimate.!O128</f>
        <v>10131.42</v>
      </c>
      <c r="J14" s="263">
        <f>I14*0.57/100</f>
        <v>57.749093999999992</v>
      </c>
      <c r="K14" s="263">
        <f>I14*3/100</f>
        <v>303.94260000000003</v>
      </c>
      <c r="L14" s="261"/>
      <c r="M14" s="261"/>
      <c r="N14" s="261"/>
      <c r="O14" s="261"/>
      <c r="P14" s="262"/>
    </row>
    <row r="15" spans="1:21" ht="15">
      <c r="A15" s="259" t="s">
        <v>223</v>
      </c>
      <c r="B15" s="491" t="s">
        <v>224</v>
      </c>
      <c r="C15" s="492"/>
      <c r="D15" s="492"/>
      <c r="E15" s="492"/>
      <c r="F15" s="492"/>
      <c r="G15" s="492"/>
      <c r="H15" s="493"/>
      <c r="I15" s="260">
        <v>0</v>
      </c>
      <c r="J15" s="260">
        <f>I15*1.14/100</f>
        <v>0</v>
      </c>
      <c r="K15" s="260">
        <f>I15*5.5/100</f>
        <v>0</v>
      </c>
      <c r="L15" s="261"/>
      <c r="M15" s="261"/>
      <c r="N15" s="261"/>
      <c r="O15" s="261"/>
      <c r="P15" s="262"/>
    </row>
    <row r="16" spans="1:21" ht="15">
      <c r="A16" s="259" t="s">
        <v>225</v>
      </c>
      <c r="B16" s="491" t="s">
        <v>226</v>
      </c>
      <c r="C16" s="492"/>
      <c r="D16" s="492"/>
      <c r="E16" s="492"/>
      <c r="F16" s="492"/>
      <c r="G16" s="492"/>
      <c r="H16" s="493"/>
      <c r="I16" s="260">
        <f>Estimate.!O134</f>
        <v>2845.1549999999997</v>
      </c>
      <c r="J16" s="260">
        <f>I16*4.4/100</f>
        <v>125.18682000000001</v>
      </c>
      <c r="K16" s="260">
        <f>I16*11/100</f>
        <v>312.96704999999997</v>
      </c>
      <c r="L16" s="261"/>
      <c r="M16" s="260">
        <f>I16*22/100</f>
        <v>625.93409999999994</v>
      </c>
      <c r="N16" s="261"/>
      <c r="O16" s="261"/>
      <c r="P16" s="262"/>
    </row>
    <row r="17" spans="1:16" ht="15">
      <c r="A17" s="259" t="s">
        <v>227</v>
      </c>
      <c r="B17" s="491" t="s">
        <v>228</v>
      </c>
      <c r="C17" s="492"/>
      <c r="D17" s="492"/>
      <c r="E17" s="492"/>
      <c r="F17" s="492"/>
      <c r="G17" s="492"/>
      <c r="H17" s="493"/>
      <c r="I17" s="260">
        <v>0</v>
      </c>
      <c r="J17" s="260">
        <f>I17*3/100</f>
        <v>0</v>
      </c>
      <c r="K17" s="260">
        <f>I17*7.4/100</f>
        <v>0</v>
      </c>
      <c r="L17" s="261"/>
      <c r="M17" s="260">
        <f>I17*14.7/100</f>
        <v>0</v>
      </c>
      <c r="N17" s="261"/>
      <c r="O17" s="261"/>
      <c r="P17" s="262"/>
    </row>
    <row r="18" spans="1:16" ht="15">
      <c r="A18" s="259" t="s">
        <v>229</v>
      </c>
      <c r="B18" s="491" t="s">
        <v>230</v>
      </c>
      <c r="C18" s="492"/>
      <c r="D18" s="492"/>
      <c r="E18" s="492"/>
      <c r="F18" s="492"/>
      <c r="G18" s="492"/>
      <c r="H18" s="493"/>
      <c r="I18" s="260">
        <v>0</v>
      </c>
      <c r="J18" s="260">
        <f>I18*2.2/100</f>
        <v>0</v>
      </c>
      <c r="K18" s="260">
        <f>I18*5.5/100</f>
        <v>0</v>
      </c>
      <c r="L18" s="261"/>
      <c r="M18" s="260">
        <f>I18*11/100</f>
        <v>0</v>
      </c>
      <c r="N18" s="261"/>
      <c r="O18" s="261"/>
      <c r="P18" s="262"/>
    </row>
    <row r="19" spans="1:16" ht="15">
      <c r="A19" s="259" t="s">
        <v>231</v>
      </c>
      <c r="B19" s="491" t="s">
        <v>232</v>
      </c>
      <c r="C19" s="492"/>
      <c r="D19" s="492"/>
      <c r="E19" s="492"/>
      <c r="F19" s="492"/>
      <c r="G19" s="492"/>
      <c r="H19" s="493"/>
      <c r="I19" s="260">
        <v>0</v>
      </c>
      <c r="J19" s="260">
        <f>I19*0.72/100</f>
        <v>0</v>
      </c>
      <c r="K19" s="260">
        <f>I19*1.8/100</f>
        <v>0</v>
      </c>
      <c r="L19" s="261"/>
      <c r="M19" s="261"/>
      <c r="N19" s="261"/>
      <c r="O19" s="261"/>
      <c r="P19" s="262"/>
    </row>
    <row r="20" spans="1:16" ht="15">
      <c r="A20" s="259" t="s">
        <v>233</v>
      </c>
      <c r="B20" s="491" t="s">
        <v>234</v>
      </c>
      <c r="C20" s="492"/>
      <c r="D20" s="492"/>
      <c r="E20" s="492"/>
      <c r="F20" s="492"/>
      <c r="G20" s="492"/>
      <c r="H20" s="493"/>
      <c r="I20" s="262"/>
      <c r="J20" s="260">
        <f>I20*2.16/100</f>
        <v>0</v>
      </c>
      <c r="K20" s="260">
        <f>I20*5.2/100</f>
        <v>0</v>
      </c>
      <c r="L20" s="261"/>
      <c r="M20" s="261"/>
      <c r="N20" s="261"/>
      <c r="O20" s="261"/>
      <c r="P20" s="262"/>
    </row>
    <row r="21" spans="1:16" ht="15">
      <c r="A21" s="259" t="s">
        <v>235</v>
      </c>
      <c r="B21" s="491" t="s">
        <v>236</v>
      </c>
      <c r="C21" s="492"/>
      <c r="D21" s="492"/>
      <c r="E21" s="492"/>
      <c r="F21" s="492"/>
      <c r="G21" s="492"/>
      <c r="H21" s="493"/>
      <c r="I21" s="262"/>
      <c r="J21" s="262"/>
      <c r="K21" s="260"/>
      <c r="L21" s="261"/>
      <c r="M21" s="261"/>
      <c r="N21" s="261"/>
      <c r="O21" s="261"/>
      <c r="P21" s="262"/>
    </row>
    <row r="22" spans="1:16" ht="15">
      <c r="A22" s="259" t="s">
        <v>237</v>
      </c>
      <c r="B22" s="491" t="s">
        <v>238</v>
      </c>
      <c r="C22" s="492"/>
      <c r="D22" s="492"/>
      <c r="E22" s="492"/>
      <c r="F22" s="492"/>
      <c r="G22" s="492"/>
      <c r="H22" s="493"/>
      <c r="I22" s="262"/>
      <c r="J22" s="262"/>
      <c r="K22" s="260"/>
      <c r="L22" s="261"/>
      <c r="M22" s="261"/>
      <c r="N22" s="261"/>
      <c r="O22" s="261"/>
      <c r="P22" s="262"/>
    </row>
    <row r="23" spans="1:16" ht="15">
      <c r="A23" s="503" t="s">
        <v>239</v>
      </c>
      <c r="B23" s="504"/>
      <c r="C23" s="504"/>
      <c r="D23" s="504"/>
      <c r="E23" s="504"/>
      <c r="F23" s="504"/>
      <c r="G23" s="504"/>
      <c r="H23" s="504"/>
      <c r="I23" s="505"/>
      <c r="J23" s="260">
        <f>SUM(J8:J22)</f>
        <v>1574.6396018820001</v>
      </c>
      <c r="K23" s="260">
        <f t="shared" ref="K23:P23" si="0">SUM(K8:K22)</f>
        <v>6703.7041504100007</v>
      </c>
      <c r="L23" s="260">
        <f t="shared" si="0"/>
        <v>5332.7169139199996</v>
      </c>
      <c r="M23" s="260">
        <f t="shared" si="0"/>
        <v>3410.7341839999999</v>
      </c>
      <c r="N23" s="261">
        <f t="shared" si="0"/>
        <v>7.7700895200892859</v>
      </c>
      <c r="O23" s="260">
        <f t="shared" si="0"/>
        <v>8007.2196975000006</v>
      </c>
      <c r="P23" s="260">
        <f t="shared" si="0"/>
        <v>0</v>
      </c>
    </row>
    <row r="24" spans="1:16" ht="15">
      <c r="A24" s="501" t="s">
        <v>240</v>
      </c>
      <c r="B24" s="502"/>
      <c r="C24" s="502"/>
      <c r="D24" s="502"/>
      <c r="E24" s="502"/>
      <c r="F24" s="502"/>
      <c r="G24" s="502"/>
      <c r="H24" s="506"/>
      <c r="I24" s="264" t="s">
        <v>241</v>
      </c>
      <c r="J24" s="264" t="s">
        <v>242</v>
      </c>
      <c r="K24" s="264" t="s">
        <v>243</v>
      </c>
      <c r="L24" s="264" t="s">
        <v>244</v>
      </c>
      <c r="M24" s="264" t="s">
        <v>245</v>
      </c>
      <c r="N24" s="264" t="s">
        <v>242</v>
      </c>
      <c r="O24" s="264" t="s">
        <v>246</v>
      </c>
      <c r="P24" s="264"/>
    </row>
    <row r="25" spans="1:16" ht="15">
      <c r="A25" s="507" t="s">
        <v>247</v>
      </c>
      <c r="B25" s="508"/>
      <c r="C25" s="508"/>
      <c r="D25" s="508"/>
      <c r="E25" s="508"/>
      <c r="F25" s="508"/>
      <c r="G25" s="508"/>
      <c r="H25" s="509"/>
      <c r="I25" s="264" t="s">
        <v>248</v>
      </c>
      <c r="J25" s="264">
        <v>27</v>
      </c>
      <c r="K25" s="264">
        <v>41</v>
      </c>
      <c r="L25" s="264">
        <v>52</v>
      </c>
      <c r="M25" s="264">
        <v>55</v>
      </c>
      <c r="N25" s="264">
        <v>27</v>
      </c>
      <c r="O25" s="264">
        <v>19</v>
      </c>
      <c r="P25" s="264"/>
    </row>
    <row r="26" spans="1:16" ht="15">
      <c r="A26" s="510"/>
      <c r="B26" s="511"/>
      <c r="C26" s="511"/>
      <c r="D26" s="511"/>
      <c r="E26" s="511"/>
      <c r="F26" s="511"/>
      <c r="G26" s="511"/>
      <c r="H26" s="512"/>
      <c r="I26" s="491" t="s">
        <v>249</v>
      </c>
      <c r="J26" s="493"/>
      <c r="K26" s="264"/>
      <c r="L26" s="264"/>
      <c r="M26" s="264"/>
      <c r="N26" s="264"/>
      <c r="O26" s="264"/>
      <c r="P26" s="264"/>
    </row>
    <row r="27" spans="1:16" ht="15">
      <c r="A27" s="491" t="s">
        <v>250</v>
      </c>
      <c r="B27" s="492"/>
      <c r="C27" s="492"/>
      <c r="D27" s="492"/>
      <c r="E27" s="492"/>
      <c r="F27" s="492"/>
      <c r="G27" s="492"/>
      <c r="H27" s="492"/>
      <c r="I27" s="492"/>
      <c r="J27" s="492"/>
      <c r="K27" s="492"/>
      <c r="L27" s="492"/>
      <c r="M27" s="492"/>
      <c r="N27" s="492"/>
      <c r="O27" s="492"/>
      <c r="P27" s="493"/>
    </row>
    <row r="28" spans="1:16" ht="15">
      <c r="A28" s="501" t="s">
        <v>251</v>
      </c>
      <c r="B28" s="502"/>
      <c r="C28" s="502"/>
      <c r="D28" s="502"/>
      <c r="E28" s="502"/>
      <c r="F28" s="502"/>
      <c r="G28" s="502"/>
      <c r="H28" s="502"/>
      <c r="I28" s="265" t="s">
        <v>252</v>
      </c>
      <c r="J28" s="261">
        <v>6.1</v>
      </c>
      <c r="K28" s="261">
        <v>407</v>
      </c>
      <c r="L28" s="261">
        <v>407</v>
      </c>
      <c r="M28" s="261">
        <v>407</v>
      </c>
      <c r="N28" s="261">
        <v>407</v>
      </c>
      <c r="O28" s="261">
        <v>325.60000000000002</v>
      </c>
      <c r="P28" s="261">
        <v>407</v>
      </c>
    </row>
    <row r="29" spans="1:16" ht="15">
      <c r="A29" s="501" t="s">
        <v>253</v>
      </c>
      <c r="B29" s="502"/>
      <c r="C29" s="502"/>
      <c r="D29" s="502"/>
      <c r="E29" s="502"/>
      <c r="F29" s="502"/>
      <c r="G29" s="502"/>
      <c r="H29" s="502"/>
      <c r="I29" s="265" t="s">
        <v>252</v>
      </c>
      <c r="J29" s="264">
        <v>1.43</v>
      </c>
      <c r="K29" s="261">
        <v>95.52</v>
      </c>
      <c r="L29" s="261">
        <v>95.52</v>
      </c>
      <c r="M29" s="261">
        <v>95.52</v>
      </c>
      <c r="N29" s="261">
        <v>95.52</v>
      </c>
      <c r="O29" s="261">
        <v>76.400000000000006</v>
      </c>
      <c r="P29" s="261">
        <v>95.52</v>
      </c>
    </row>
    <row r="30" spans="1:16" ht="15">
      <c r="A30" s="501" t="s">
        <v>254</v>
      </c>
      <c r="B30" s="502"/>
      <c r="C30" s="502"/>
      <c r="D30" s="502"/>
      <c r="E30" s="502"/>
      <c r="F30" s="502"/>
      <c r="G30" s="502"/>
      <c r="H30" s="502"/>
      <c r="I30" s="265" t="s">
        <v>252</v>
      </c>
      <c r="J30" s="259" t="s">
        <v>82</v>
      </c>
      <c r="K30" s="261">
        <v>76.89</v>
      </c>
      <c r="L30" s="261">
        <v>76.89</v>
      </c>
      <c r="M30" s="261">
        <v>76.89</v>
      </c>
      <c r="N30" s="261">
        <v>76.89</v>
      </c>
      <c r="O30" s="261">
        <v>61.51</v>
      </c>
      <c r="P30" s="261">
        <v>76.89</v>
      </c>
    </row>
    <row r="31" spans="1:16" ht="15">
      <c r="A31" s="501" t="s">
        <v>255</v>
      </c>
      <c r="B31" s="502"/>
      <c r="C31" s="502"/>
      <c r="D31" s="502"/>
      <c r="E31" s="502"/>
      <c r="F31" s="502"/>
      <c r="G31" s="502"/>
      <c r="H31" s="502"/>
      <c r="I31" s="265" t="s">
        <v>252</v>
      </c>
      <c r="J31" s="259" t="s">
        <v>82</v>
      </c>
      <c r="K31" s="261">
        <v>70.45</v>
      </c>
      <c r="L31" s="261">
        <v>70.45</v>
      </c>
      <c r="M31" s="261">
        <v>70.45</v>
      </c>
      <c r="N31" s="261">
        <v>70.45</v>
      </c>
      <c r="O31" s="261">
        <v>56.36</v>
      </c>
      <c r="P31" s="261">
        <v>70.45</v>
      </c>
    </row>
    <row r="32" spans="1:16" ht="15">
      <c r="A32" s="501" t="s">
        <v>256</v>
      </c>
      <c r="B32" s="502"/>
      <c r="C32" s="502"/>
      <c r="D32" s="502"/>
      <c r="E32" s="502"/>
      <c r="F32" s="502"/>
      <c r="G32" s="502"/>
      <c r="H32" s="502"/>
      <c r="I32" s="265" t="s">
        <v>252</v>
      </c>
      <c r="J32" s="259" t="s">
        <v>82</v>
      </c>
      <c r="K32" s="261">
        <v>64.430000000000007</v>
      </c>
      <c r="L32" s="261">
        <v>64.430000000000007</v>
      </c>
      <c r="M32" s="261">
        <v>64.430000000000007</v>
      </c>
      <c r="N32" s="261">
        <v>64.430000000000007</v>
      </c>
      <c r="O32" s="261">
        <v>51.54</v>
      </c>
      <c r="P32" s="261">
        <v>64.430000000000007</v>
      </c>
    </row>
    <row r="33" spans="1:24" ht="15">
      <c r="A33" s="501" t="s">
        <v>257</v>
      </c>
      <c r="B33" s="502"/>
      <c r="C33" s="502"/>
      <c r="D33" s="502"/>
      <c r="E33" s="502"/>
      <c r="F33" s="502"/>
      <c r="G33" s="502"/>
      <c r="H33" s="502"/>
      <c r="I33" s="265" t="s">
        <v>252</v>
      </c>
      <c r="J33" s="259" t="s">
        <v>82</v>
      </c>
      <c r="K33" s="264">
        <v>57.67</v>
      </c>
      <c r="L33" s="264">
        <v>57.67</v>
      </c>
      <c r="M33" s="264">
        <v>57.67</v>
      </c>
      <c r="N33" s="264">
        <v>57.67</v>
      </c>
      <c r="O33" s="264">
        <v>46.13</v>
      </c>
      <c r="P33" s="264">
        <v>57.67</v>
      </c>
    </row>
    <row r="34" spans="1:24" ht="14.25">
      <c r="A34" s="503" t="s">
        <v>258</v>
      </c>
      <c r="B34" s="504"/>
      <c r="C34" s="504"/>
      <c r="D34" s="504"/>
      <c r="E34" s="504"/>
      <c r="F34" s="504"/>
      <c r="G34" s="504"/>
      <c r="H34" s="504"/>
      <c r="I34" s="266" t="s">
        <v>252</v>
      </c>
      <c r="J34" s="267">
        <v>7.53</v>
      </c>
      <c r="K34" s="267">
        <v>771.96</v>
      </c>
      <c r="L34" s="267">
        <v>771.96</v>
      </c>
      <c r="M34" s="267">
        <v>771.96</v>
      </c>
      <c r="N34" s="267">
        <v>771.96</v>
      </c>
      <c r="O34" s="267">
        <v>617.54</v>
      </c>
      <c r="P34" s="267">
        <v>771.96</v>
      </c>
    </row>
    <row r="35" spans="1:24" ht="15">
      <c r="A35" s="268" t="s">
        <v>187</v>
      </c>
      <c r="B35" s="515" t="s">
        <v>259</v>
      </c>
      <c r="C35" s="515"/>
      <c r="D35" s="515"/>
      <c r="E35" s="515"/>
      <c r="F35" s="515"/>
      <c r="G35" s="515"/>
      <c r="H35" s="515"/>
      <c r="I35" s="266" t="s">
        <v>252</v>
      </c>
      <c r="J35" s="261">
        <v>0.6</v>
      </c>
      <c r="K35" s="261">
        <v>32.56</v>
      </c>
      <c r="L35" s="261">
        <v>32.56</v>
      </c>
      <c r="M35" s="261">
        <v>32.56</v>
      </c>
      <c r="N35" s="261">
        <v>32.56</v>
      </c>
      <c r="O35" s="261">
        <v>26.05</v>
      </c>
      <c r="P35" s="261">
        <v>32.56</v>
      </c>
      <c r="R35" s="269">
        <f t="shared" ref="R35:X35" si="1">SUM(J25-6)*J35</f>
        <v>12.6</v>
      </c>
      <c r="S35" s="269">
        <f t="shared" si="1"/>
        <v>1139.6000000000001</v>
      </c>
      <c r="T35" s="269">
        <f t="shared" si="1"/>
        <v>1497.7600000000002</v>
      </c>
      <c r="U35" s="269">
        <f t="shared" si="1"/>
        <v>1595.44</v>
      </c>
      <c r="V35" s="269">
        <f t="shared" si="1"/>
        <v>683.76</v>
      </c>
      <c r="W35" s="269">
        <f t="shared" si="1"/>
        <v>338.65000000000003</v>
      </c>
      <c r="X35" s="269">
        <f t="shared" si="1"/>
        <v>-195.36</v>
      </c>
    </row>
    <row r="36" spans="1:24" ht="15">
      <c r="A36" s="516" t="s">
        <v>260</v>
      </c>
      <c r="B36" s="515"/>
      <c r="C36" s="515"/>
      <c r="D36" s="515"/>
      <c r="E36" s="515"/>
      <c r="F36" s="515"/>
      <c r="G36" s="515"/>
      <c r="H36" s="515"/>
      <c r="I36" s="266" t="s">
        <v>252</v>
      </c>
      <c r="J36" s="261">
        <f t="shared" ref="J36:P36" si="2">J34+R35</f>
        <v>20.13</v>
      </c>
      <c r="K36" s="261">
        <f t="shared" si="2"/>
        <v>1911.5600000000002</v>
      </c>
      <c r="L36" s="261">
        <f t="shared" si="2"/>
        <v>2269.7200000000003</v>
      </c>
      <c r="M36" s="261">
        <f t="shared" si="2"/>
        <v>2367.4</v>
      </c>
      <c r="N36" s="261">
        <f t="shared" si="2"/>
        <v>1455.72</v>
      </c>
      <c r="O36" s="261">
        <f t="shared" si="2"/>
        <v>956.19</v>
      </c>
      <c r="P36" s="261">
        <f t="shared" si="2"/>
        <v>576.6</v>
      </c>
    </row>
    <row r="37" spans="1:24" ht="15">
      <c r="A37" s="516" t="s">
        <v>239</v>
      </c>
      <c r="B37" s="515"/>
      <c r="C37" s="515"/>
      <c r="D37" s="515"/>
      <c r="E37" s="515"/>
      <c r="F37" s="515"/>
      <c r="G37" s="515"/>
      <c r="H37" s="515"/>
      <c r="I37" s="266"/>
      <c r="J37" s="260">
        <f t="shared" ref="J37:P37" si="3">J23</f>
        <v>1574.6396018820001</v>
      </c>
      <c r="K37" s="260">
        <f t="shared" si="3"/>
        <v>6703.7041504100007</v>
      </c>
      <c r="L37" s="260">
        <f t="shared" si="3"/>
        <v>5332.7169139199996</v>
      </c>
      <c r="M37" s="260">
        <f t="shared" si="3"/>
        <v>3410.7341839999999</v>
      </c>
      <c r="N37" s="261">
        <f t="shared" si="3"/>
        <v>7.7700895200892859</v>
      </c>
      <c r="O37" s="260">
        <f t="shared" si="3"/>
        <v>8007.2196975000006</v>
      </c>
      <c r="P37" s="260">
        <f t="shared" si="3"/>
        <v>0</v>
      </c>
    </row>
    <row r="38" spans="1:24" ht="14.25">
      <c r="A38" s="516" t="s">
        <v>261</v>
      </c>
      <c r="B38" s="515"/>
      <c r="C38" s="515"/>
      <c r="D38" s="515"/>
      <c r="E38" s="515"/>
      <c r="F38" s="515"/>
      <c r="G38" s="515"/>
      <c r="H38" s="515"/>
      <c r="I38" s="266" t="s">
        <v>252</v>
      </c>
      <c r="J38" s="270">
        <f>J37*J36</f>
        <v>31697.495185884662</v>
      </c>
      <c r="K38" s="270">
        <f>K37*K36/100</f>
        <v>128145.32705757742</v>
      </c>
      <c r="L38" s="270">
        <f>L37*L36/100</f>
        <v>121037.74233862503</v>
      </c>
      <c r="M38" s="270">
        <f>M37*M36/100</f>
        <v>80745.721072016007</v>
      </c>
      <c r="N38" s="270">
        <f>N37*N36</f>
        <v>11311.074716184376</v>
      </c>
      <c r="O38" s="270">
        <f>O37*O36/1000</f>
        <v>7656.4234025525266</v>
      </c>
      <c r="P38" s="270">
        <f>P37*P36</f>
        <v>0</v>
      </c>
    </row>
    <row r="39" spans="1:24" ht="15">
      <c r="A39" s="271"/>
      <c r="B39" s="517"/>
      <c r="C39" s="517"/>
      <c r="D39" s="517"/>
      <c r="E39" s="517"/>
      <c r="F39" s="517"/>
      <c r="G39" s="517"/>
      <c r="H39" s="517"/>
      <c r="I39" s="271"/>
      <c r="J39" s="271"/>
      <c r="K39" s="271"/>
      <c r="L39" s="184"/>
      <c r="M39" s="184" t="s">
        <v>262</v>
      </c>
      <c r="N39" s="184"/>
      <c r="O39" s="513">
        <f>SUM(J38:P38)</f>
        <v>380593.78377283999</v>
      </c>
      <c r="P39" s="513"/>
    </row>
    <row r="40" spans="1:24" ht="15">
      <c r="A40" s="272"/>
      <c r="B40" s="514"/>
      <c r="C40" s="514"/>
      <c r="D40" s="273"/>
      <c r="E40" s="272"/>
      <c r="F40" s="272"/>
      <c r="G40" s="272"/>
      <c r="H40" s="272"/>
      <c r="I40" s="274"/>
      <c r="J40" s="271"/>
      <c r="K40" s="275"/>
      <c r="L40" s="184"/>
      <c r="M40" s="184"/>
      <c r="N40" s="184"/>
    </row>
    <row r="41" spans="1:24" ht="15">
      <c r="A41" s="272"/>
      <c r="B41" s="514"/>
      <c r="C41" s="514"/>
      <c r="D41" s="272"/>
      <c r="E41" s="272"/>
      <c r="F41" s="272"/>
      <c r="G41" s="276"/>
      <c r="H41" s="272"/>
      <c r="I41" s="277"/>
      <c r="J41" s="278"/>
      <c r="K41" s="275"/>
      <c r="L41" s="184"/>
      <c r="M41" s="184"/>
      <c r="N41" s="184"/>
      <c r="O41" s="279"/>
      <c r="P41" s="279"/>
    </row>
    <row r="42" spans="1:24" ht="15">
      <c r="A42" s="271"/>
      <c r="B42" s="271"/>
      <c r="C42" s="271"/>
      <c r="D42" s="272"/>
      <c r="E42" s="272"/>
      <c r="F42" s="272"/>
      <c r="G42" s="272"/>
      <c r="H42" s="272"/>
      <c r="I42" s="280"/>
      <c r="J42" s="281"/>
      <c r="K42" s="275"/>
      <c r="L42" s="184"/>
      <c r="M42" s="184"/>
      <c r="N42" s="184"/>
      <c r="O42" s="184"/>
      <c r="P42" s="184"/>
    </row>
    <row r="43" spans="1:24" ht="15.75">
      <c r="A43" s="272"/>
      <c r="B43" s="514"/>
      <c r="C43" s="514"/>
      <c r="D43" s="282"/>
      <c r="E43" s="283"/>
      <c r="F43" s="284"/>
      <c r="G43" s="285"/>
      <c r="H43" s="274"/>
      <c r="I43" s="286"/>
      <c r="J43" s="271"/>
      <c r="K43" s="275"/>
      <c r="L43" s="184" t="s">
        <v>263</v>
      </c>
      <c r="M43" s="184"/>
      <c r="N43" s="184"/>
      <c r="O43" s="184"/>
      <c r="P43" s="184"/>
    </row>
    <row r="44" spans="1:24" ht="15">
      <c r="A44" s="271"/>
      <c r="B44" s="271"/>
      <c r="C44" s="271"/>
      <c r="D44" s="271"/>
      <c r="E44" s="271"/>
      <c r="F44" s="271"/>
      <c r="G44" s="271"/>
      <c r="H44" s="274"/>
      <c r="I44" s="287"/>
      <c r="J44" s="288"/>
      <c r="K44" s="275"/>
      <c r="L44" s="184"/>
      <c r="M44" s="184"/>
      <c r="N44" s="184"/>
      <c r="O44" s="184"/>
      <c r="P44" s="184"/>
    </row>
    <row r="45" spans="1:24" ht="15">
      <c r="A45" s="271"/>
      <c r="B45" s="271"/>
      <c r="C45" s="271"/>
      <c r="D45" s="271"/>
      <c r="E45" s="271"/>
      <c r="F45" s="271"/>
      <c r="G45" s="271"/>
      <c r="H45" s="274"/>
      <c r="I45" s="271"/>
      <c r="J45" s="281"/>
      <c r="K45" s="271"/>
      <c r="L45" s="184"/>
      <c r="M45" s="184"/>
      <c r="N45" s="184"/>
      <c r="O45" s="184"/>
      <c r="P45" s="184"/>
    </row>
    <row r="46" spans="1:24" ht="15">
      <c r="A46" s="184"/>
      <c r="B46" s="184"/>
      <c r="C46" s="184"/>
      <c r="D46" s="184"/>
      <c r="E46" s="184"/>
      <c r="F46" s="184"/>
      <c r="G46" s="184"/>
      <c r="I46" s="289"/>
      <c r="J46" s="281"/>
      <c r="K46" s="184"/>
      <c r="L46" s="184"/>
      <c r="M46" s="184"/>
      <c r="N46" s="184"/>
      <c r="O46" s="184"/>
      <c r="P46" s="184"/>
    </row>
    <row r="47" spans="1:24">
      <c r="A47" s="252"/>
      <c r="B47" s="252" t="s">
        <v>14</v>
      </c>
      <c r="C47" s="252"/>
      <c r="D47" s="252"/>
      <c r="E47" s="252"/>
      <c r="F47" s="252"/>
      <c r="G47" s="252"/>
      <c r="H47" s="252"/>
      <c r="I47" s="252"/>
      <c r="J47" s="252"/>
      <c r="K47" s="252"/>
      <c r="L47" s="252"/>
      <c r="M47" s="252"/>
      <c r="N47" s="252"/>
      <c r="O47" s="252"/>
      <c r="P47" s="252"/>
    </row>
    <row r="48" spans="1:24">
      <c r="A48" s="252"/>
      <c r="B48" s="252" t="s">
        <v>14</v>
      </c>
      <c r="C48" s="252"/>
      <c r="D48" s="252"/>
      <c r="E48" s="252"/>
      <c r="F48" s="252"/>
      <c r="G48" s="252"/>
      <c r="H48" s="252"/>
      <c r="I48" s="252"/>
      <c r="J48" s="252"/>
      <c r="K48" s="252"/>
      <c r="L48" s="252"/>
      <c r="M48" s="252"/>
      <c r="N48" s="252"/>
      <c r="O48" s="252"/>
      <c r="P48" s="252"/>
    </row>
    <row r="49" spans="1:16">
      <c r="A49" s="252"/>
      <c r="B49" s="252"/>
      <c r="C49" s="252"/>
      <c r="D49" s="252"/>
      <c r="E49" s="252"/>
      <c r="F49" s="252"/>
      <c r="G49" s="252"/>
      <c r="H49" s="252"/>
      <c r="I49" s="252"/>
      <c r="J49" s="252"/>
      <c r="K49" s="252"/>
      <c r="L49" s="252"/>
      <c r="M49" s="252"/>
      <c r="N49" s="252"/>
      <c r="O49" s="252"/>
      <c r="P49" s="252"/>
    </row>
    <row r="50" spans="1:16">
      <c r="A50" s="252"/>
      <c r="B50" s="252"/>
      <c r="C50" s="252"/>
      <c r="D50" s="252"/>
      <c r="E50" s="252"/>
      <c r="F50" s="252"/>
      <c r="G50" s="252"/>
      <c r="H50" s="252"/>
      <c r="I50" s="252"/>
      <c r="J50" s="252"/>
      <c r="K50" s="252"/>
      <c r="L50" s="252"/>
      <c r="M50" s="252"/>
      <c r="N50" s="252"/>
      <c r="O50" s="252"/>
      <c r="P50" s="252"/>
    </row>
    <row r="52" spans="1:16" ht="14.25">
      <c r="A52" s="290"/>
      <c r="B52" s="290"/>
      <c r="C52" s="290"/>
      <c r="D52" s="290"/>
      <c r="E52" s="210"/>
      <c r="F52" s="210"/>
      <c r="G52" s="132"/>
      <c r="H52" s="132"/>
      <c r="I52" s="211"/>
      <c r="J52" s="211"/>
      <c r="K52" s="189"/>
      <c r="L52" s="189"/>
      <c r="M52" s="189"/>
      <c r="N52" s="212"/>
      <c r="O52" s="212"/>
      <c r="P52" s="239"/>
    </row>
  </sheetData>
  <mergeCells count="40">
    <mergeCell ref="O39:P39"/>
    <mergeCell ref="B40:C40"/>
    <mergeCell ref="B41:C41"/>
    <mergeCell ref="B43:C43"/>
    <mergeCell ref="A34:H34"/>
    <mergeCell ref="B35:H35"/>
    <mergeCell ref="A36:H36"/>
    <mergeCell ref="A37:H37"/>
    <mergeCell ref="A38:H38"/>
    <mergeCell ref="B39:H39"/>
    <mergeCell ref="A33:H33"/>
    <mergeCell ref="B22:H22"/>
    <mergeCell ref="A23:I23"/>
    <mergeCell ref="A24:H24"/>
    <mergeCell ref="A25:H26"/>
    <mergeCell ref="I26:J26"/>
    <mergeCell ref="A27:P27"/>
    <mergeCell ref="A28:H28"/>
    <mergeCell ref="A29:H29"/>
    <mergeCell ref="A30:H30"/>
    <mergeCell ref="A31:H31"/>
    <mergeCell ref="A32:H32"/>
    <mergeCell ref="B21:H21"/>
    <mergeCell ref="B10:H10"/>
    <mergeCell ref="B11:H11"/>
    <mergeCell ref="B12:H12"/>
    <mergeCell ref="B13:H13"/>
    <mergeCell ref="B14:H14"/>
    <mergeCell ref="B15:H15"/>
    <mergeCell ref="B16:H16"/>
    <mergeCell ref="B17:H17"/>
    <mergeCell ref="B18:H18"/>
    <mergeCell ref="B19:H19"/>
    <mergeCell ref="B20:H20"/>
    <mergeCell ref="B9:H9"/>
    <mergeCell ref="A1:P1"/>
    <mergeCell ref="B3:E3"/>
    <mergeCell ref="G3:P5"/>
    <mergeCell ref="B7:H7"/>
    <mergeCell ref="B8:H8"/>
  </mergeCells>
  <pageMargins left="0.7" right="0.2" top="0.5" bottom="0.25" header="0.3" footer="0.3"/>
  <pageSetup scale="90" orientation="portrait" horizontalDpi="0" verticalDpi="0" r:id="rId1"/>
  <drawing r:id="rId2"/>
</worksheet>
</file>

<file path=xl/worksheets/sheet13.xml><?xml version="1.0" encoding="utf-8"?>
<worksheet xmlns="http://schemas.openxmlformats.org/spreadsheetml/2006/main" xmlns:r="http://schemas.openxmlformats.org/officeDocument/2006/relationships">
  <dimension ref="A1:H44"/>
  <sheetViews>
    <sheetView workbookViewId="0">
      <selection activeCell="E7" sqref="E7"/>
    </sheetView>
  </sheetViews>
  <sheetFormatPr defaultRowHeight="12.75"/>
  <cols>
    <col min="1" max="1" width="6.140625" style="249" customWidth="1"/>
    <col min="2" max="2" width="47.85546875" style="246" customWidth="1"/>
    <col min="3" max="3" width="8.7109375" style="250" customWidth="1"/>
    <col min="4" max="4" width="5.28515625" style="250" customWidth="1"/>
    <col min="5" max="5" width="13.7109375" style="248" customWidth="1"/>
    <col min="6" max="6" width="9.140625" style="248"/>
    <col min="7" max="7" width="5.28515625" style="250" customWidth="1"/>
    <col min="8" max="8" width="13.7109375" style="250" customWidth="1"/>
    <col min="9" max="16384" width="9.140625" style="250"/>
  </cols>
  <sheetData>
    <row r="1" spans="1:8" ht="25.5">
      <c r="A1" s="291"/>
      <c r="B1" s="292"/>
      <c r="C1" s="293"/>
      <c r="D1" s="293"/>
      <c r="E1" s="294"/>
      <c r="F1" s="294"/>
      <c r="G1" s="293"/>
      <c r="H1" s="293"/>
    </row>
    <row r="2" spans="1:8" ht="48" customHeight="1">
      <c r="A2" s="295"/>
      <c r="B2" s="256" t="s">
        <v>126</v>
      </c>
      <c r="C2" s="297"/>
      <c r="D2" s="297"/>
      <c r="E2" s="297"/>
      <c r="F2" s="297"/>
      <c r="G2" s="297"/>
      <c r="H2" s="297"/>
    </row>
    <row r="3" spans="1:8" ht="17.25" customHeight="1">
      <c r="A3" s="295"/>
      <c r="B3" s="296"/>
      <c r="C3" s="297"/>
      <c r="D3" s="297"/>
      <c r="E3" s="297"/>
      <c r="F3" s="297"/>
      <c r="G3" s="297"/>
      <c r="H3" s="297"/>
    </row>
    <row r="4" spans="1:8" ht="26.25" thickBot="1">
      <c r="A4" s="295"/>
      <c r="B4" s="518" t="s">
        <v>264</v>
      </c>
      <c r="C4" s="518"/>
      <c r="D4" s="518"/>
      <c r="E4" s="518"/>
      <c r="F4" s="518"/>
      <c r="G4" s="518"/>
      <c r="H4" s="518"/>
    </row>
    <row r="5" spans="1:8" ht="16.5" thickBot="1">
      <c r="A5" s="298" t="s">
        <v>128</v>
      </c>
      <c r="B5" s="299" t="s">
        <v>129</v>
      </c>
      <c r="C5" s="519" t="s">
        <v>131</v>
      </c>
      <c r="D5" s="520"/>
      <c r="E5" s="300" t="s">
        <v>265</v>
      </c>
      <c r="F5" s="301" t="s">
        <v>266</v>
      </c>
      <c r="G5" s="519" t="s">
        <v>10</v>
      </c>
      <c r="H5" s="521"/>
    </row>
    <row r="6" spans="1:8" ht="15">
      <c r="A6" s="137"/>
      <c r="B6" s="302"/>
      <c r="C6" s="303"/>
      <c r="D6" s="303"/>
      <c r="E6" s="303"/>
      <c r="F6" s="303"/>
      <c r="G6" s="304"/>
      <c r="H6" s="304"/>
    </row>
    <row r="7" spans="1:8" ht="56.25" customHeight="1">
      <c r="A7" s="305" t="s">
        <v>136</v>
      </c>
      <c r="B7" s="306" t="str">
        <f>Estimate.!B10</f>
        <v>Dismentling cement concrete reinforced separating refinorcement for cleaning and sarighening the same (S.I.No.20/P-10).</v>
      </c>
      <c r="C7" s="307">
        <f>Estimate.!O14</f>
        <v>1266.0825</v>
      </c>
      <c r="D7" s="308" t="s">
        <v>267</v>
      </c>
      <c r="E7" s="309">
        <v>5445</v>
      </c>
      <c r="F7" s="310" t="s">
        <v>268</v>
      </c>
      <c r="G7" s="307" t="s">
        <v>269</v>
      </c>
      <c r="H7" s="307">
        <f>C7*E7/100</f>
        <v>68938.192125000001</v>
      </c>
    </row>
    <row r="8" spans="1:8" ht="33.75" customHeight="1">
      <c r="A8" s="311" t="s">
        <v>143</v>
      </c>
      <c r="B8" s="306" t="str">
        <f>Estimate.!B16</f>
        <v>Dismentling brick work in lime or cement mortor (S.I.No.13/P-10).</v>
      </c>
      <c r="C8" s="307">
        <f>Estimate.!O35</f>
        <v>5757.0843999999988</v>
      </c>
      <c r="D8" s="308" t="s">
        <v>267</v>
      </c>
      <c r="E8" s="309">
        <v>1285.6300000000001</v>
      </c>
      <c r="F8" s="310" t="s">
        <v>270</v>
      </c>
      <c r="G8" s="307" t="s">
        <v>269</v>
      </c>
      <c r="H8" s="307">
        <f>C8*E8/100</f>
        <v>74014.804171719996</v>
      </c>
    </row>
    <row r="9" spans="1:8" ht="66" customHeight="1">
      <c r="A9" s="312" t="s">
        <v>146</v>
      </c>
      <c r="B9" s="313" t="str">
        <f>Estimate.!B37</f>
        <v xml:space="preserve">Excavation of foundation of building bridges and other structure i/c dagbelling dressing refilling around structure with excavated lead upto one chain and lift upto 5' feet.(S.I.NO:18(b)P-4). </v>
      </c>
      <c r="C9" s="314">
        <f>Estimate.!O44</f>
        <v>2061.96</v>
      </c>
      <c r="D9" s="315" t="s">
        <v>267</v>
      </c>
      <c r="E9" s="316">
        <v>3176.25</v>
      </c>
      <c r="F9" s="317" t="s">
        <v>271</v>
      </c>
      <c r="G9" s="314" t="s">
        <v>269</v>
      </c>
      <c r="H9" s="314">
        <f>C9*E9/1000</f>
        <v>6549.3004500000006</v>
      </c>
    </row>
    <row r="10" spans="1:8" ht="39" customHeight="1">
      <c r="A10" s="312" t="s">
        <v>150</v>
      </c>
      <c r="B10" s="318" t="str">
        <f>Estimate.!B46</f>
        <v xml:space="preserve">Cement Concret brick or stone ballast 1-1/2" to 2"guage Ratio1:4:8(S.I.No:4/B/P-14). </v>
      </c>
      <c r="C10" s="314">
        <f>Estimate.!O53</f>
        <v>5554.9134519999998</v>
      </c>
      <c r="D10" s="315" t="s">
        <v>267</v>
      </c>
      <c r="E10" s="316">
        <v>9416.25</v>
      </c>
      <c r="F10" s="317" t="s">
        <v>268</v>
      </c>
      <c r="G10" s="314" t="s">
        <v>269</v>
      </c>
      <c r="H10" s="314">
        <f>C10*E10/100</f>
        <v>523064.53792394995</v>
      </c>
    </row>
    <row r="11" spans="1:8" ht="48.75" customHeight="1">
      <c r="A11" s="312" t="s">
        <v>152</v>
      </c>
      <c r="B11" s="319" t="str">
        <f>Estimate.!B55</f>
        <v>Pacca brick work in foundation or plinth in cement sand morter1:6 (S.I.No.41/E/P-20)</v>
      </c>
      <c r="C11" s="314">
        <f>Estimate.!O61</f>
        <v>2061.96</v>
      </c>
      <c r="D11" s="315" t="s">
        <v>267</v>
      </c>
      <c r="E11" s="316">
        <v>11948.36</v>
      </c>
      <c r="F11" s="317" t="s">
        <v>268</v>
      </c>
      <c r="G11" s="314" t="s">
        <v>269</v>
      </c>
      <c r="H11" s="314">
        <f>C11*E11/100</f>
        <v>246370.40385600002</v>
      </c>
    </row>
    <row r="12" spans="1:8" ht="126.75" customHeight="1">
      <c r="A12" s="312" t="s">
        <v>154</v>
      </c>
      <c r="B12" s="318" t="str">
        <f>Estimate.!B63</f>
        <v>R.C.C. work i/c all labour and material except the cost of steel reinforcement and its labour for bending binding which will be paid separately. This rate also i/c all kinds of forms moulds lifting shuttering curing rendering washing of shingle surface. (a) R.C.C work in roof slabs, beams, columns, rafts, lintels and other structural members laid in situ or precast laid in position, complete in all respects Ratio 1:2:4 (S.I No 6/p -18).</v>
      </c>
      <c r="C12" s="314">
        <f>Estimate.!O78</f>
        <v>3164.5455499999998</v>
      </c>
      <c r="D12" s="315" t="s">
        <v>267</v>
      </c>
      <c r="E12" s="316">
        <v>337</v>
      </c>
      <c r="F12" s="317" t="s">
        <v>272</v>
      </c>
      <c r="G12" s="314" t="s">
        <v>269</v>
      </c>
      <c r="H12" s="314">
        <f>C12*E12</f>
        <v>1066451.85035</v>
      </c>
    </row>
    <row r="13" spans="1:8" ht="64.5" customHeight="1">
      <c r="A13" s="312" t="s">
        <v>159</v>
      </c>
      <c r="B13" s="194" t="str">
        <f>Estimate.!B80</f>
        <v>Fabrication of mild steel reinforcement for R.C.C i/c its labour for cutting bending binding and laying in position making joints and fastening i/c the cost of binding wire also removal of rust from bars (S.I.No. 7/ P- 19)</v>
      </c>
      <c r="C13" s="314">
        <f>Estimate.!O86</f>
        <v>155.40179040178572</v>
      </c>
      <c r="D13" s="315" t="s">
        <v>273</v>
      </c>
      <c r="E13" s="316">
        <v>5001.7</v>
      </c>
      <c r="F13" s="317" t="s">
        <v>274</v>
      </c>
      <c r="G13" s="314" t="s">
        <v>269</v>
      </c>
      <c r="H13" s="314">
        <f>C13*E13</f>
        <v>777273.13505261159</v>
      </c>
    </row>
    <row r="14" spans="1:8" ht="56.25" customHeight="1">
      <c r="A14" s="320" t="s">
        <v>164</v>
      </c>
      <c r="B14" s="313" t="str">
        <f>Estimate.!B88</f>
        <v>Filling, watering, and ramming earth under floors with new earth excavated from outside lead upto 1 chain and lift upto 5'ft (s.I.NO:22/P-05).</v>
      </c>
      <c r="C14" s="314">
        <f>Estimate.!O96</f>
        <v>4153.3335000000006</v>
      </c>
      <c r="D14" s="315" t="s">
        <v>267</v>
      </c>
      <c r="E14" s="316">
        <v>3630</v>
      </c>
      <c r="F14" s="317" t="s">
        <v>268</v>
      </c>
      <c r="G14" s="314" t="s">
        <v>269</v>
      </c>
      <c r="H14" s="314">
        <f>C14*E14/1000</f>
        <v>15076.600605000001</v>
      </c>
    </row>
    <row r="15" spans="1:8" ht="25.5" customHeight="1">
      <c r="A15" s="312" t="s">
        <v>165</v>
      </c>
      <c r="B15" s="318" t="str">
        <f>Estimate.!B98</f>
        <v>Add: Extra lead 06 (Miles).</v>
      </c>
      <c r="C15" s="314">
        <f>Estimate.!O101</f>
        <v>4153.3335000000006</v>
      </c>
      <c r="D15" s="315" t="s">
        <v>267</v>
      </c>
      <c r="E15" s="316">
        <v>771.96</v>
      </c>
      <c r="F15" s="317" t="s">
        <v>268</v>
      </c>
      <c r="G15" s="314" t="s">
        <v>269</v>
      </c>
      <c r="H15" s="314">
        <f>C15*E15/100</f>
        <v>32062.073286600007</v>
      </c>
    </row>
    <row r="16" spans="1:8" ht="51" customHeight="1">
      <c r="A16" s="312">
        <v>10</v>
      </c>
      <c r="B16" s="318" t="str">
        <f>Estimate.!B103</f>
        <v>Pacca brick work in Ground Floor  i/c stricking of joints upto 20 ft: hieght in cement sand mortor ratio 1:6 (S.I. No. 05/P-24)</v>
      </c>
      <c r="C16" s="314">
        <f>Estimate.!O117</f>
        <v>3869.3138500000005</v>
      </c>
      <c r="D16" s="315" t="s">
        <v>267</v>
      </c>
      <c r="E16" s="316">
        <v>12674.36</v>
      </c>
      <c r="F16" s="317" t="s">
        <v>268</v>
      </c>
      <c r="G16" s="314" t="s">
        <v>269</v>
      </c>
      <c r="H16" s="314">
        <f>C16*E16/100</f>
        <v>490410.76687886007</v>
      </c>
    </row>
    <row r="17" spans="1:8" ht="34.5" customHeight="1">
      <c r="A17" s="312">
        <v>11</v>
      </c>
      <c r="B17" s="318" t="str">
        <f>Estimate.!B119</f>
        <v>Cement Plaster 1:6 upto 20 ft. hight 1/2" thick (S.I.No. 13(b)/P - 57)</v>
      </c>
      <c r="C17" s="314">
        <f>Estimate.!O123</f>
        <v>9427.92</v>
      </c>
      <c r="D17" s="315" t="s">
        <v>267</v>
      </c>
      <c r="E17" s="316">
        <v>2206.6</v>
      </c>
      <c r="F17" s="317" t="s">
        <v>268</v>
      </c>
      <c r="G17" s="314" t="s">
        <v>269</v>
      </c>
      <c r="H17" s="314">
        <f>C17*E17/100</f>
        <v>208036.48272</v>
      </c>
    </row>
    <row r="18" spans="1:8" ht="40.5" customHeight="1">
      <c r="A18" s="312">
        <v>12</v>
      </c>
      <c r="B18" s="318" t="str">
        <f>Estimate.!B125</f>
        <v>Cement Plaster 1:4 upto 20 ft. hight 3/8" thick (S.I.No. 11(a)/P - 57)</v>
      </c>
      <c r="C18" s="314">
        <f>Estimate.!O128</f>
        <v>10131.42</v>
      </c>
      <c r="D18" s="315" t="s">
        <v>13</v>
      </c>
      <c r="E18" s="316">
        <v>2197.52</v>
      </c>
      <c r="F18" s="317" t="s">
        <v>275</v>
      </c>
      <c r="G18" s="314" t="s">
        <v>269</v>
      </c>
      <c r="H18" s="314">
        <f>C18*E18/100</f>
        <v>222639.98078400001</v>
      </c>
    </row>
    <row r="19" spans="1:8" ht="49.5" customHeight="1">
      <c r="A19" s="312">
        <v>13</v>
      </c>
      <c r="B19" s="318" t="str">
        <f>Estimate.!B130</f>
        <v>Providing and laying 2" thick topping cement concrete 1:2:4 I/c  surface finishing and dividing into panells.(S.I.No:16/C/P-47).</v>
      </c>
      <c r="C19" s="314">
        <f>Estimate.!O134</f>
        <v>2845.1549999999997</v>
      </c>
      <c r="D19" s="315" t="s">
        <v>13</v>
      </c>
      <c r="E19" s="316">
        <v>3275.5</v>
      </c>
      <c r="F19" s="317" t="s">
        <v>275</v>
      </c>
      <c r="G19" s="314" t="s">
        <v>269</v>
      </c>
      <c r="H19" s="314">
        <f>C19*E19/100</f>
        <v>93193.052024999983</v>
      </c>
    </row>
    <row r="20" spans="1:8" ht="61.5" customHeight="1">
      <c r="A20" s="312">
        <v>14</v>
      </c>
      <c r="B20" s="318" t="str">
        <f>Estimate.!B136</f>
        <v>Laying white marble flooring fine dreassed on the surface without winding set in lime mortor 1:2 i/c rubbing and polishing of the joints 3/4" thick flooring (S.I No 28-a/P-43)</v>
      </c>
      <c r="C20" s="314">
        <f>Estimate.!O144</f>
        <v>1855.6</v>
      </c>
      <c r="D20" s="315" t="s">
        <v>13</v>
      </c>
      <c r="E20" s="316">
        <v>567.48</v>
      </c>
      <c r="F20" s="317" t="s">
        <v>276</v>
      </c>
      <c r="G20" s="314" t="s">
        <v>269</v>
      </c>
      <c r="H20" s="314">
        <f>C20*E20</f>
        <v>1053015.888</v>
      </c>
    </row>
    <row r="21" spans="1:8" ht="123.75" customHeight="1">
      <c r="A21" s="312">
        <v>15</v>
      </c>
      <c r="B21" s="313" t="str">
        <f>Estimate.!B146</f>
        <v>P/L Hala or patterned tiles glazed 8"x8"and 1/4" on floor or walls facing in required pattern of Stile specification jointed in white cement and pigment over a base of 1:2 grey cement mortar 3/4" thick I/c washing and filling of joints with slurry of white cement and pigment in desired shade with finishing, cleaning and wax polish etc complete i/c cutting tile to proper profile (S .I. No 62 /P-54)</v>
      </c>
      <c r="C21" s="314">
        <f>Estimate.!O154</f>
        <v>1305.96</v>
      </c>
      <c r="D21" s="315" t="s">
        <v>267</v>
      </c>
      <c r="E21" s="316">
        <v>34520.31</v>
      </c>
      <c r="F21" s="317" t="s">
        <v>275</v>
      </c>
      <c r="G21" s="314" t="s">
        <v>269</v>
      </c>
      <c r="H21" s="314">
        <f t="shared" ref="H21:H23" si="0">C21*E21/100</f>
        <v>450821.44047600002</v>
      </c>
    </row>
    <row r="22" spans="1:8" ht="56.25" customHeight="1">
      <c r="A22" s="312">
        <v>16</v>
      </c>
      <c r="B22" s="318" t="str">
        <f>Estimate.!B156</f>
        <v>Laying floor of approved with glazed tiles 1/4" thick laid in white cement and pigment on a bed of 3/4" thick cement mortor (S.I No 25/P-49)</v>
      </c>
      <c r="C22" s="314">
        <f>Estimate.!O160</f>
        <v>288</v>
      </c>
      <c r="D22" s="315" t="s">
        <v>277</v>
      </c>
      <c r="E22" s="316">
        <v>27678.86</v>
      </c>
      <c r="F22" s="317" t="s">
        <v>278</v>
      </c>
      <c r="G22" s="314" t="s">
        <v>269</v>
      </c>
      <c r="H22" s="314">
        <f t="shared" si="0"/>
        <v>79715.116800000003</v>
      </c>
    </row>
    <row r="23" spans="1:8" ht="60" customHeight="1">
      <c r="A23" s="312">
        <v>17</v>
      </c>
      <c r="B23" s="318" t="str">
        <f>Estimate.!B162</f>
        <v>White glazed tiles 1/4" thick dadoo jointed in white cement and laid over 1:2 cement sand mortor 3/4" thick i/c finishing (S.I.No. 37/P-49)</v>
      </c>
      <c r="C23" s="314">
        <f>Estimate.!O166</f>
        <v>340</v>
      </c>
      <c r="D23" s="315" t="s">
        <v>277</v>
      </c>
      <c r="E23" s="316">
        <v>28253.61</v>
      </c>
      <c r="F23" s="317" t="s">
        <v>278</v>
      </c>
      <c r="G23" s="314" t="s">
        <v>269</v>
      </c>
      <c r="H23" s="314">
        <f t="shared" si="0"/>
        <v>96062.274000000005</v>
      </c>
    </row>
    <row r="24" spans="1:8" ht="56.25" customHeight="1">
      <c r="A24" s="312">
        <v>18</v>
      </c>
      <c r="B24" s="318" t="str">
        <f>Estimate.!B168</f>
        <v>Providing and laying 3" thick topping cement concrete 1:2:4 I/c  surface finishing and dividing into panells.(S.I.No:16/C/P-47).</v>
      </c>
      <c r="C24" s="314">
        <f>Estimate.!O173</f>
        <v>9500</v>
      </c>
      <c r="D24" s="315" t="s">
        <v>277</v>
      </c>
      <c r="E24" s="316">
        <v>4411.82</v>
      </c>
      <c r="F24" s="317" t="s">
        <v>276</v>
      </c>
      <c r="G24" s="314" t="s">
        <v>269</v>
      </c>
      <c r="H24" s="314">
        <f>C24*E24/100</f>
        <v>419122.9</v>
      </c>
    </row>
    <row r="25" spans="1:8" ht="73.5" customHeight="1">
      <c r="A25" s="312">
        <v>19</v>
      </c>
      <c r="B25" s="318" t="str">
        <f>Estimate.!B175</f>
        <v>First class deodar wood wrought joinery in doors &amp; windows fixed in position with chowkads i/c cleats cords hooks iron tower bolts hinges holds fasts deodar panelled or glazed or fully glazed 1-3/4" thick (S.I.No7/P-64)</v>
      </c>
      <c r="C25" s="314">
        <f>Estimate.!O181</f>
        <v>410</v>
      </c>
      <c r="D25" s="315" t="s">
        <v>277</v>
      </c>
      <c r="E25" s="316">
        <v>1273.76</v>
      </c>
      <c r="F25" s="317" t="s">
        <v>276</v>
      </c>
      <c r="G25" s="314" t="s">
        <v>269</v>
      </c>
      <c r="H25" s="314">
        <f>C25*E25</f>
        <v>522241.6</v>
      </c>
    </row>
    <row r="26" spans="1:8" ht="64.5" customHeight="1">
      <c r="A26" s="312">
        <v>20</v>
      </c>
      <c r="B26" s="313" t="str">
        <f>Estimate.!B183</f>
        <v>S/F iron steel grill of 3/4" and 1/4" size flate iron of approved design i/c painting 3 coats etc. complete( weight not less than 3.7 Lb./ Sq: ft: of finished grill) (S.I.No.26/P-97)</v>
      </c>
      <c r="C26" s="314">
        <f>Estimate.!O187</f>
        <v>324</v>
      </c>
      <c r="D26" s="315" t="s">
        <v>277</v>
      </c>
      <c r="E26" s="316">
        <v>231.6</v>
      </c>
      <c r="F26" s="317" t="s">
        <v>276</v>
      </c>
      <c r="G26" s="314" t="s">
        <v>269</v>
      </c>
      <c r="H26" s="314">
        <f t="shared" ref="H26" si="1">C26*E26</f>
        <v>75038.399999999994</v>
      </c>
    </row>
    <row r="27" spans="1:8" ht="25.5" customHeight="1">
      <c r="A27" s="312">
        <v>21</v>
      </c>
      <c r="B27" s="318" t="str">
        <f>Estimate.!B189</f>
        <v>Primary coat of chalk under distemper (S.I.No.23/P-58)</v>
      </c>
      <c r="C27" s="314">
        <f>Estimate.!O193</f>
        <v>9427.92</v>
      </c>
      <c r="D27" s="315" t="s">
        <v>277</v>
      </c>
      <c r="E27" s="316">
        <v>442.75</v>
      </c>
      <c r="F27" s="317" t="s">
        <v>275</v>
      </c>
      <c r="G27" s="314" t="s">
        <v>269</v>
      </c>
      <c r="H27" s="314">
        <f>C27*E27/100</f>
        <v>41742.1158</v>
      </c>
    </row>
    <row r="28" spans="1:8" ht="26.25" customHeight="1">
      <c r="A28" s="312">
        <v>22</v>
      </c>
      <c r="B28" s="313" t="str">
        <f>Estimate.!B195</f>
        <v>Distempering  03 coats . (S.I.No. 24(b )/P-60)</v>
      </c>
      <c r="C28" s="314">
        <f>Estimate.!O197</f>
        <v>9427.92</v>
      </c>
      <c r="D28" s="315" t="s">
        <v>277</v>
      </c>
      <c r="E28" s="316">
        <v>1079.6500000000001</v>
      </c>
      <c r="F28" s="317" t="s">
        <v>275</v>
      </c>
      <c r="G28" s="314" t="s">
        <v>269</v>
      </c>
      <c r="H28" s="314">
        <f>C28*E28/100</f>
        <v>101788.53828000002</v>
      </c>
    </row>
    <row r="29" spans="1:8" ht="30">
      <c r="A29" s="312">
        <v>23</v>
      </c>
      <c r="B29" s="313" t="str">
        <f>Estimate.!B199</f>
        <v>Painting new surface preparing surface and door &amp; window any type i/c edges. (S.I.No.5(c )/ P-76)</v>
      </c>
      <c r="C29" s="314">
        <f>Estimate.!O203</f>
        <v>820</v>
      </c>
      <c r="D29" s="315" t="s">
        <v>277</v>
      </c>
      <c r="E29" s="316">
        <v>2116.41</v>
      </c>
      <c r="F29" s="317" t="s">
        <v>275</v>
      </c>
      <c r="G29" s="314" t="s">
        <v>269</v>
      </c>
      <c r="H29" s="314">
        <f>C29*E29/100</f>
        <v>17354.561999999998</v>
      </c>
    </row>
    <row r="30" spans="1:8" ht="15.75" thickBot="1">
      <c r="A30" s="321"/>
      <c r="B30" s="322"/>
      <c r="C30" s="323"/>
      <c r="D30" s="324"/>
      <c r="E30" s="323"/>
      <c r="F30" s="325"/>
      <c r="G30" s="326"/>
      <c r="H30" s="181"/>
    </row>
    <row r="31" spans="1:8" ht="14.25">
      <c r="A31" s="327"/>
      <c r="B31" s="328"/>
      <c r="C31" s="329" t="s">
        <v>98</v>
      </c>
      <c r="D31" s="330"/>
      <c r="E31" s="331"/>
      <c r="G31" s="332" t="s">
        <v>269</v>
      </c>
      <c r="H31" s="333">
        <f>SUM(H7:H30)</f>
        <v>6680984.0155847417</v>
      </c>
    </row>
    <row r="32" spans="1:8" ht="15.75">
      <c r="A32" s="327"/>
      <c r="B32" s="334"/>
      <c r="C32" s="335" t="s">
        <v>279</v>
      </c>
      <c r="D32" s="330"/>
      <c r="E32" s="331"/>
      <c r="F32" s="336"/>
      <c r="G32" s="314" t="s">
        <v>269</v>
      </c>
      <c r="H32" s="337">
        <f>Carriage!O39</f>
        <v>380593.78377283999</v>
      </c>
    </row>
    <row r="33" spans="1:8" ht="15.75">
      <c r="A33" s="327"/>
      <c r="B33" s="334"/>
      <c r="C33" s="335" t="s">
        <v>280</v>
      </c>
      <c r="D33" s="330"/>
      <c r="E33" s="331"/>
      <c r="F33" s="336"/>
      <c r="G33" s="314" t="s">
        <v>269</v>
      </c>
      <c r="H33" s="337">
        <f>SUM(H20:H23)*20/100</f>
        <v>335922.94385520002</v>
      </c>
    </row>
    <row r="34" spans="1:8" ht="15.75">
      <c r="A34" s="327"/>
      <c r="B34" s="334"/>
      <c r="C34" s="335" t="s">
        <v>281</v>
      </c>
      <c r="D34" s="330"/>
      <c r="E34" s="331"/>
      <c r="F34" s="336"/>
      <c r="G34" s="314" t="s">
        <v>269</v>
      </c>
      <c r="H34" s="337">
        <f>SUM(H13)*10/100</f>
        <v>77727.313505261161</v>
      </c>
    </row>
    <row r="35" spans="1:8" ht="15.75">
      <c r="A35" s="327"/>
      <c r="B35" s="334"/>
      <c r="C35" s="335" t="s">
        <v>282</v>
      </c>
      <c r="D35" s="330"/>
      <c r="E35" s="331"/>
      <c r="F35" s="336"/>
      <c r="G35" s="314" t="s">
        <v>269</v>
      </c>
      <c r="H35" s="337">
        <f>H31*1/100</f>
        <v>66809.840155847414</v>
      </c>
    </row>
    <row r="36" spans="1:8" ht="15.75">
      <c r="A36" s="327"/>
      <c r="B36" s="334"/>
      <c r="C36" s="338" t="s">
        <v>283</v>
      </c>
      <c r="D36" s="330"/>
      <c r="E36" s="339"/>
      <c r="F36" s="340"/>
      <c r="G36" s="314" t="s">
        <v>269</v>
      </c>
      <c r="H36" s="337">
        <f>H31+H32+H34+H35-H33</f>
        <v>6870192.0091634905</v>
      </c>
    </row>
    <row r="37" spans="1:8" ht="15.75">
      <c r="A37" s="327"/>
      <c r="B37" s="334"/>
      <c r="C37" s="522" t="s">
        <v>284</v>
      </c>
      <c r="D37" s="523"/>
      <c r="E37" s="523"/>
      <c r="F37" s="524"/>
      <c r="G37" s="314" t="s">
        <v>269</v>
      </c>
      <c r="H37" s="337">
        <v>6870200</v>
      </c>
    </row>
    <row r="38" spans="1:8" ht="15.75">
      <c r="A38" s="347"/>
      <c r="B38" s="348"/>
      <c r="C38" s="349"/>
      <c r="D38" s="349"/>
      <c r="E38" s="349"/>
      <c r="F38" s="349"/>
      <c r="G38" s="218"/>
      <c r="H38" s="244"/>
    </row>
    <row r="39" spans="1:8">
      <c r="C39" s="247"/>
      <c r="D39" s="247"/>
      <c r="G39" s="247"/>
      <c r="H39" s="247"/>
    </row>
    <row r="40" spans="1:8" ht="14.25">
      <c r="A40" s="245" t="s">
        <v>194</v>
      </c>
      <c r="C40" s="247"/>
      <c r="D40" s="247"/>
      <c r="G40" s="247"/>
      <c r="H40" s="247"/>
    </row>
    <row r="41" spans="1:8">
      <c r="C41" s="247"/>
      <c r="D41" s="247"/>
      <c r="G41" s="247"/>
      <c r="H41" s="247"/>
    </row>
    <row r="42" spans="1:8">
      <c r="C42" s="247"/>
      <c r="D42" s="247"/>
      <c r="G42" s="247"/>
      <c r="H42" s="247"/>
    </row>
    <row r="43" spans="1:8">
      <c r="C43" s="247"/>
      <c r="D43" s="247"/>
      <c r="G43" s="247"/>
      <c r="H43" s="247"/>
    </row>
    <row r="44" spans="1:8">
      <c r="C44" s="247"/>
      <c r="D44" s="247"/>
      <c r="G44" s="247"/>
      <c r="H44" s="247"/>
    </row>
  </sheetData>
  <mergeCells count="4">
    <mergeCell ref="B4:H4"/>
    <mergeCell ref="C5:D5"/>
    <mergeCell ref="G5:H5"/>
    <mergeCell ref="C37:F37"/>
  </mergeCells>
  <pageMargins left="0.7" right="0.2" top="0.5" bottom="0.25" header="0.3" footer="0.3"/>
  <pageSetup scale="90" orientation="portrait" horizontalDpi="0" verticalDpi="0" r:id="rId1"/>
  <headerFooter>
    <oddHeader>&amp;R&amp;P</oddHeader>
  </headerFooter>
  <drawing r:id="rId2"/>
</worksheet>
</file>

<file path=xl/worksheets/sheet14.xml><?xml version="1.0" encoding="utf-8"?>
<worksheet xmlns="http://schemas.openxmlformats.org/spreadsheetml/2006/main" xmlns:r="http://schemas.openxmlformats.org/officeDocument/2006/relationships">
  <dimension ref="A1:Q113"/>
  <sheetViews>
    <sheetView tabSelected="1" topLeftCell="A94" workbookViewId="0">
      <selection activeCell="D114" sqref="D114"/>
    </sheetView>
  </sheetViews>
  <sheetFormatPr defaultColWidth="24" defaultRowHeight="17.100000000000001" customHeight="1"/>
  <cols>
    <col min="1" max="1" width="6.140625" style="131" customWidth="1"/>
    <col min="2" max="2" width="21.7109375" style="131" customWidth="1"/>
    <col min="3" max="3" width="3.42578125" style="131" customWidth="1"/>
    <col min="4" max="4" width="2" style="131" customWidth="1"/>
    <col min="5" max="5" width="7.140625" style="131" customWidth="1"/>
    <col min="6" max="6" width="2" style="131" customWidth="1"/>
    <col min="7" max="7" width="9" style="131" customWidth="1"/>
    <col min="8" max="8" width="2" style="131" customWidth="1"/>
    <col min="9" max="9" width="9" style="131" customWidth="1"/>
    <col min="10" max="10" width="2" style="131" customWidth="1"/>
    <col min="11" max="11" width="8.7109375" style="131" customWidth="1"/>
    <col min="12" max="12" width="2" style="131" customWidth="1"/>
    <col min="13" max="13" width="8.7109375" style="131" customWidth="1"/>
    <col min="14" max="14" width="2" style="131" customWidth="1"/>
    <col min="15" max="15" width="10.140625" style="131" customWidth="1"/>
    <col min="16" max="16" width="3.7109375" style="131" customWidth="1"/>
    <col min="17" max="17" width="12.7109375" style="131" customWidth="1"/>
    <col min="18" max="16384" width="24" style="131"/>
  </cols>
  <sheetData>
    <row r="1" spans="1:17" s="249" customFormat="1" ht="23.25" customHeight="1">
      <c r="B1" s="527" t="s">
        <v>356</v>
      </c>
      <c r="C1" s="527"/>
      <c r="D1" s="527"/>
      <c r="E1" s="527"/>
      <c r="F1" s="527"/>
      <c r="G1" s="527"/>
      <c r="H1" s="527"/>
      <c r="I1" s="527"/>
      <c r="J1" s="527"/>
      <c r="K1" s="527"/>
      <c r="L1" s="527"/>
      <c r="M1" s="527"/>
      <c r="N1" s="527"/>
      <c r="O1" s="527"/>
      <c r="P1" s="527"/>
    </row>
    <row r="2" spans="1:17" ht="17.100000000000001" customHeight="1">
      <c r="A2" s="129"/>
      <c r="B2" s="383" t="s">
        <v>126</v>
      </c>
      <c r="C2" s="472" t="s">
        <v>195</v>
      </c>
      <c r="D2" s="472"/>
      <c r="E2" s="472"/>
      <c r="F2" s="472"/>
      <c r="G2" s="472"/>
      <c r="H2" s="472"/>
      <c r="I2" s="472"/>
      <c r="J2" s="472"/>
      <c r="K2" s="472"/>
      <c r="L2" s="472"/>
      <c r="M2" s="472"/>
      <c r="N2" s="472"/>
      <c r="O2" s="472"/>
      <c r="P2" s="472"/>
      <c r="Q2" s="133"/>
    </row>
    <row r="3" spans="1:17" ht="17.100000000000001" customHeight="1">
      <c r="A3" s="129"/>
      <c r="B3" s="383"/>
      <c r="C3" s="472"/>
      <c r="D3" s="472"/>
      <c r="E3" s="472"/>
      <c r="F3" s="472"/>
      <c r="G3" s="472"/>
      <c r="H3" s="472"/>
      <c r="I3" s="472"/>
      <c r="J3" s="472"/>
      <c r="K3" s="472"/>
      <c r="L3" s="472"/>
      <c r="M3" s="472"/>
      <c r="N3" s="472"/>
      <c r="O3" s="472"/>
      <c r="P3" s="472"/>
      <c r="Q3" s="133"/>
    </row>
    <row r="4" spans="1:17" ht="17.100000000000001" customHeight="1">
      <c r="A4" s="129"/>
      <c r="B4" s="383"/>
      <c r="C4" s="472"/>
      <c r="D4" s="472"/>
      <c r="E4" s="472"/>
      <c r="F4" s="472"/>
      <c r="G4" s="472"/>
      <c r="H4" s="472"/>
      <c r="I4" s="472"/>
      <c r="J4" s="472"/>
      <c r="K4" s="472"/>
      <c r="L4" s="472"/>
      <c r="M4" s="472"/>
      <c r="N4" s="472"/>
      <c r="O4" s="472"/>
      <c r="P4" s="472"/>
      <c r="Q4" s="133"/>
    </row>
    <row r="5" spans="1:17" ht="17.100000000000001" customHeight="1" thickBot="1">
      <c r="A5" s="129"/>
      <c r="B5" s="383"/>
      <c r="C5" s="384"/>
      <c r="D5" s="384"/>
      <c r="E5" s="384"/>
      <c r="F5" s="384"/>
      <c r="G5" s="384"/>
      <c r="H5" s="384"/>
      <c r="I5" s="384"/>
      <c r="J5" s="384"/>
      <c r="K5" s="384"/>
      <c r="L5" s="384"/>
      <c r="M5" s="384"/>
      <c r="N5" s="384"/>
      <c r="O5" s="384"/>
      <c r="P5" s="384"/>
      <c r="Q5" s="133"/>
    </row>
    <row r="6" spans="1:17" s="413" customFormat="1" ht="26.25" customHeight="1" thickBot="1">
      <c r="A6" s="528" t="s">
        <v>128</v>
      </c>
      <c r="B6" s="529" t="s">
        <v>129</v>
      </c>
      <c r="C6" s="529"/>
      <c r="D6" s="529"/>
      <c r="E6" s="529"/>
      <c r="F6" s="529"/>
      <c r="G6" s="529"/>
      <c r="H6" s="529"/>
      <c r="I6" s="530" t="s">
        <v>131</v>
      </c>
      <c r="J6" s="530"/>
      <c r="K6" s="530"/>
      <c r="L6" s="530"/>
      <c r="M6" s="530" t="s">
        <v>265</v>
      </c>
      <c r="N6" s="530"/>
      <c r="O6" s="530" t="s">
        <v>357</v>
      </c>
      <c r="P6" s="530"/>
      <c r="Q6" s="300" t="s">
        <v>10</v>
      </c>
    </row>
    <row r="7" spans="1:17" ht="17.100000000000001" customHeight="1">
      <c r="A7" s="137"/>
      <c r="B7" s="137"/>
      <c r="C7" s="137"/>
      <c r="D7" s="137"/>
      <c r="E7" s="137"/>
      <c r="F7" s="137"/>
      <c r="G7" s="137"/>
      <c r="H7" s="137"/>
      <c r="I7" s="137"/>
      <c r="J7" s="137"/>
      <c r="K7" s="138"/>
      <c r="L7" s="138"/>
      <c r="M7" s="138"/>
      <c r="N7" s="138"/>
      <c r="O7" s="137"/>
      <c r="P7" s="137"/>
      <c r="Q7" s="139"/>
    </row>
    <row r="8" spans="1:17" ht="17.100000000000001" customHeight="1">
      <c r="A8" s="140">
        <v>1</v>
      </c>
      <c r="B8" s="465" t="s">
        <v>137</v>
      </c>
      <c r="C8" s="465"/>
      <c r="D8" s="465"/>
      <c r="E8" s="465"/>
      <c r="F8" s="465"/>
      <c r="G8" s="465"/>
      <c r="H8" s="465"/>
      <c r="I8" s="465"/>
      <c r="J8" s="465"/>
      <c r="K8" s="465"/>
      <c r="L8" s="465"/>
      <c r="M8" s="465"/>
      <c r="N8" s="141"/>
      <c r="O8" s="142"/>
      <c r="P8" s="143"/>
      <c r="Q8" s="144"/>
    </row>
    <row r="9" spans="1:17" ht="17.100000000000001" customHeight="1">
      <c r="A9" s="140"/>
      <c r="B9" s="465"/>
      <c r="C9" s="465"/>
      <c r="D9" s="465"/>
      <c r="E9" s="465"/>
      <c r="F9" s="465"/>
      <c r="G9" s="465"/>
      <c r="H9" s="465"/>
      <c r="I9" s="465"/>
      <c r="J9" s="465"/>
      <c r="K9" s="465"/>
      <c r="L9" s="465"/>
      <c r="M9" s="465"/>
      <c r="N9" s="141"/>
      <c r="O9" s="142"/>
      <c r="P9" s="143"/>
      <c r="Q9" s="144"/>
    </row>
    <row r="10" spans="1:17" ht="17.100000000000001" customHeight="1">
      <c r="A10" s="139"/>
      <c r="B10" s="139"/>
      <c r="C10" s="139"/>
      <c r="D10" s="139"/>
      <c r="E10" s="139"/>
      <c r="F10" s="139"/>
      <c r="G10" s="139"/>
      <c r="H10" s="139"/>
      <c r="I10" s="525">
        <v>1235</v>
      </c>
      <c r="J10" s="525"/>
      <c r="K10" s="163" t="s">
        <v>267</v>
      </c>
      <c r="L10" s="398"/>
      <c r="M10" s="399">
        <v>5445</v>
      </c>
      <c r="N10" s="163"/>
      <c r="O10" s="400" t="s">
        <v>268</v>
      </c>
      <c r="P10" s="163"/>
      <c r="Q10" s="401">
        <f>I10*M10/100</f>
        <v>67245.75</v>
      </c>
    </row>
    <row r="11" spans="1:17" ht="17.100000000000001" customHeight="1">
      <c r="A11" s="155">
        <v>2</v>
      </c>
      <c r="B11" s="466" t="s">
        <v>144</v>
      </c>
      <c r="C11" s="466"/>
      <c r="D11" s="466"/>
      <c r="E11" s="466"/>
      <c r="F11" s="466"/>
      <c r="G11" s="466"/>
      <c r="H11" s="466"/>
      <c r="I11" s="466"/>
      <c r="J11" s="466"/>
      <c r="K11" s="466"/>
      <c r="L11" s="466"/>
      <c r="M11" s="466"/>
      <c r="N11" s="156"/>
      <c r="O11" s="156"/>
      <c r="P11" s="156"/>
      <c r="Q11" s="144"/>
    </row>
    <row r="12" spans="1:17" ht="17.100000000000001" customHeight="1">
      <c r="A12" s="139"/>
      <c r="B12" s="139"/>
      <c r="C12" s="139"/>
      <c r="D12" s="139"/>
      <c r="E12" s="139"/>
      <c r="F12" s="139"/>
      <c r="G12" s="139"/>
      <c r="H12" s="139"/>
      <c r="I12" s="139"/>
      <c r="J12" s="139"/>
      <c r="K12" s="154"/>
      <c r="L12" s="154"/>
      <c r="M12" s="154"/>
      <c r="N12" s="154"/>
      <c r="O12" s="139"/>
      <c r="P12" s="139"/>
      <c r="Q12" s="139"/>
    </row>
    <row r="13" spans="1:17" ht="17.100000000000001" customHeight="1">
      <c r="A13" s="139"/>
      <c r="B13" s="139"/>
      <c r="C13" s="139"/>
      <c r="D13" s="139"/>
      <c r="E13" s="139"/>
      <c r="F13" s="139"/>
      <c r="G13" s="139"/>
      <c r="H13" s="139"/>
      <c r="I13" s="525">
        <v>4761</v>
      </c>
      <c r="J13" s="525"/>
      <c r="K13" s="163" t="s">
        <v>267</v>
      </c>
      <c r="L13" s="398"/>
      <c r="M13" s="399">
        <v>1285.6300000000001</v>
      </c>
      <c r="N13" s="163"/>
      <c r="O13" s="400" t="s">
        <v>268</v>
      </c>
      <c r="P13" s="163"/>
      <c r="Q13" s="401">
        <f>I13*M13/100</f>
        <v>61208.844300000004</v>
      </c>
    </row>
    <row r="14" spans="1:17" ht="17.100000000000001" customHeight="1">
      <c r="A14" s="168">
        <v>3</v>
      </c>
      <c r="B14" s="471" t="s">
        <v>147</v>
      </c>
      <c r="C14" s="471"/>
      <c r="D14" s="471"/>
      <c r="E14" s="471"/>
      <c r="F14" s="471"/>
      <c r="G14" s="471"/>
      <c r="H14" s="471"/>
      <c r="I14" s="471"/>
      <c r="J14" s="471"/>
      <c r="K14" s="471"/>
      <c r="L14" s="471"/>
      <c r="M14" s="471"/>
      <c r="N14" s="471"/>
      <c r="O14" s="169"/>
      <c r="P14" s="169"/>
      <c r="Q14" s="169"/>
    </row>
    <row r="15" spans="1:17" ht="17.100000000000001" customHeight="1">
      <c r="A15" s="168"/>
      <c r="B15" s="471"/>
      <c r="C15" s="471"/>
      <c r="D15" s="471"/>
      <c r="E15" s="471"/>
      <c r="F15" s="471"/>
      <c r="G15" s="471"/>
      <c r="H15" s="471"/>
      <c r="I15" s="471"/>
      <c r="J15" s="471"/>
      <c r="K15" s="471"/>
      <c r="L15" s="471"/>
      <c r="M15" s="471"/>
      <c r="N15" s="471"/>
      <c r="O15" s="169"/>
      <c r="P15" s="169"/>
      <c r="Q15" s="169"/>
    </row>
    <row r="16" spans="1:17" ht="17.100000000000001" customHeight="1">
      <c r="A16" s="169"/>
      <c r="B16" s="169"/>
      <c r="C16" s="169"/>
      <c r="D16" s="169" t="s">
        <v>14</v>
      </c>
      <c r="E16" s="169"/>
      <c r="F16" s="169"/>
      <c r="G16" s="169"/>
      <c r="H16" s="169"/>
      <c r="I16" s="169"/>
      <c r="J16" s="169"/>
      <c r="K16" s="169"/>
      <c r="L16" s="169"/>
      <c r="M16" s="169"/>
      <c r="N16" s="169"/>
      <c r="O16" s="169"/>
      <c r="P16" s="169"/>
      <c r="Q16" s="169"/>
    </row>
    <row r="17" spans="1:17" ht="17.100000000000001" customHeight="1">
      <c r="A17" s="139"/>
      <c r="B17" s="139"/>
      <c r="C17" s="139"/>
      <c r="D17" s="139"/>
      <c r="E17" s="139"/>
      <c r="F17" s="139"/>
      <c r="G17" s="139"/>
      <c r="H17" s="139"/>
      <c r="I17" s="525">
        <v>2062</v>
      </c>
      <c r="J17" s="525"/>
      <c r="K17" s="163" t="s">
        <v>267</v>
      </c>
      <c r="L17" s="398"/>
      <c r="M17" s="399">
        <v>1376.25</v>
      </c>
      <c r="N17" s="163"/>
      <c r="O17" s="400" t="s">
        <v>268</v>
      </c>
      <c r="P17" s="163"/>
      <c r="Q17" s="401">
        <f>I17*M17/1000</f>
        <v>2837.8274999999999</v>
      </c>
    </row>
    <row r="18" spans="1:17" ht="17.100000000000001" customHeight="1">
      <c r="A18" s="168">
        <v>4</v>
      </c>
      <c r="B18" s="467" t="s">
        <v>151</v>
      </c>
      <c r="C18" s="467"/>
      <c r="D18" s="467"/>
      <c r="E18" s="467"/>
      <c r="F18" s="467"/>
      <c r="G18" s="467"/>
      <c r="H18" s="467"/>
      <c r="I18" s="467"/>
      <c r="J18" s="467"/>
      <c r="K18" s="467"/>
      <c r="L18" s="467"/>
      <c r="M18" s="467"/>
      <c r="N18" s="467"/>
      <c r="O18" s="169"/>
      <c r="P18" s="169"/>
      <c r="Q18" s="169"/>
    </row>
    <row r="19" spans="1:17" ht="17.100000000000001" customHeight="1">
      <c r="A19" s="168"/>
      <c r="B19" s="381"/>
      <c r="C19" s="381"/>
      <c r="D19" s="381"/>
      <c r="E19" s="381"/>
      <c r="F19" s="381"/>
      <c r="G19" s="381"/>
      <c r="H19" s="381"/>
      <c r="I19" s="381"/>
      <c r="J19" s="381"/>
      <c r="K19" s="381"/>
      <c r="L19" s="381"/>
      <c r="M19" s="381"/>
      <c r="N19" s="381"/>
      <c r="O19" s="169"/>
      <c r="P19" s="169"/>
      <c r="Q19" s="169"/>
    </row>
    <row r="20" spans="1:17" ht="17.100000000000001" customHeight="1">
      <c r="A20" s="169"/>
      <c r="B20" s="169"/>
      <c r="C20" s="386"/>
      <c r="D20" s="386"/>
      <c r="E20" s="187"/>
      <c r="F20" s="468"/>
      <c r="G20" s="468"/>
      <c r="H20" s="133"/>
      <c r="I20" s="525">
        <v>805</v>
      </c>
      <c r="J20" s="525"/>
      <c r="K20" s="163" t="s">
        <v>267</v>
      </c>
      <c r="L20" s="398"/>
      <c r="M20" s="399">
        <v>12346.65</v>
      </c>
      <c r="N20" s="163"/>
      <c r="O20" s="400" t="s">
        <v>268</v>
      </c>
      <c r="P20" s="163"/>
      <c r="Q20" s="401">
        <f>I20*M20/100</f>
        <v>99390.532500000001</v>
      </c>
    </row>
    <row r="21" spans="1:17" ht="17.100000000000001" customHeight="1">
      <c r="A21" s="168">
        <v>5</v>
      </c>
      <c r="B21" s="489" t="s">
        <v>153</v>
      </c>
      <c r="C21" s="489"/>
      <c r="D21" s="489"/>
      <c r="E21" s="489"/>
      <c r="F21" s="489"/>
      <c r="G21" s="489"/>
      <c r="H21" s="489"/>
      <c r="I21" s="489"/>
      <c r="J21" s="489"/>
      <c r="K21" s="489"/>
      <c r="L21" s="489"/>
      <c r="M21" s="489"/>
      <c r="N21" s="489"/>
      <c r="O21" s="169"/>
      <c r="P21" s="169"/>
      <c r="Q21" s="169"/>
    </row>
    <row r="22" spans="1:17" ht="17.100000000000001" customHeight="1">
      <c r="A22" s="168"/>
      <c r="B22" s="391"/>
      <c r="C22" s="391"/>
      <c r="D22" s="391"/>
      <c r="E22" s="391"/>
      <c r="F22" s="391"/>
      <c r="G22" s="391"/>
      <c r="H22" s="391"/>
      <c r="I22" s="391"/>
      <c r="J22" s="391"/>
      <c r="K22" s="391"/>
      <c r="L22" s="391"/>
      <c r="M22" s="391"/>
      <c r="N22" s="391"/>
      <c r="O22" s="169"/>
      <c r="P22" s="169"/>
      <c r="Q22" s="169"/>
    </row>
    <row r="23" spans="1:17" ht="17.100000000000001" customHeight="1">
      <c r="A23" s="169"/>
      <c r="B23" s="169"/>
      <c r="C23" s="169"/>
      <c r="D23" s="169"/>
      <c r="E23" s="169"/>
      <c r="F23" s="468"/>
      <c r="G23" s="468"/>
      <c r="H23" s="133"/>
      <c r="I23" s="525">
        <v>2062</v>
      </c>
      <c r="J23" s="525"/>
      <c r="K23" s="163" t="s">
        <v>267</v>
      </c>
      <c r="L23" s="398"/>
      <c r="M23" s="399">
        <v>11948.36</v>
      </c>
      <c r="N23" s="163"/>
      <c r="O23" s="400" t="s">
        <v>268</v>
      </c>
      <c r="P23" s="163"/>
      <c r="Q23" s="401">
        <f>I23*M23/100</f>
        <v>246375.1832</v>
      </c>
    </row>
    <row r="24" spans="1:17" ht="17.100000000000001" customHeight="1">
      <c r="A24" s="168">
        <v>6</v>
      </c>
      <c r="B24" s="490" t="s">
        <v>155</v>
      </c>
      <c r="C24" s="490"/>
      <c r="D24" s="490"/>
      <c r="E24" s="490"/>
      <c r="F24" s="490"/>
      <c r="G24" s="490"/>
      <c r="H24" s="490"/>
      <c r="I24" s="490"/>
      <c r="J24" s="490"/>
      <c r="K24" s="490"/>
      <c r="L24" s="490"/>
      <c r="M24" s="490"/>
      <c r="N24" s="169"/>
      <c r="O24" s="169"/>
      <c r="P24" s="169"/>
      <c r="Q24" s="169"/>
    </row>
    <row r="25" spans="1:17" ht="17.100000000000001" customHeight="1">
      <c r="A25" s="168"/>
      <c r="B25" s="490"/>
      <c r="C25" s="490"/>
      <c r="D25" s="490"/>
      <c r="E25" s="490"/>
      <c r="F25" s="490"/>
      <c r="G25" s="490"/>
      <c r="H25" s="490"/>
      <c r="I25" s="490"/>
      <c r="J25" s="490"/>
      <c r="K25" s="490"/>
      <c r="L25" s="490"/>
      <c r="M25" s="490"/>
      <c r="N25" s="169"/>
      <c r="O25" s="169"/>
      <c r="P25" s="169"/>
      <c r="Q25" s="169"/>
    </row>
    <row r="26" spans="1:17" ht="17.100000000000001" customHeight="1">
      <c r="A26" s="168"/>
      <c r="B26" s="490"/>
      <c r="C26" s="490"/>
      <c r="D26" s="490"/>
      <c r="E26" s="490"/>
      <c r="F26" s="490"/>
      <c r="G26" s="490"/>
      <c r="H26" s="490"/>
      <c r="I26" s="490"/>
      <c r="J26" s="490"/>
      <c r="K26" s="490"/>
      <c r="L26" s="490"/>
      <c r="M26" s="490"/>
      <c r="N26" s="169"/>
      <c r="O26" s="169"/>
      <c r="P26" s="169"/>
      <c r="Q26" s="169"/>
    </row>
    <row r="27" spans="1:17" ht="17.100000000000001" customHeight="1">
      <c r="A27" s="168"/>
      <c r="B27" s="490"/>
      <c r="C27" s="490"/>
      <c r="D27" s="490"/>
      <c r="E27" s="490"/>
      <c r="F27" s="490"/>
      <c r="G27" s="490"/>
      <c r="H27" s="490"/>
      <c r="I27" s="490"/>
      <c r="J27" s="490"/>
      <c r="K27" s="490"/>
      <c r="L27" s="490"/>
      <c r="M27" s="490"/>
      <c r="N27" s="169"/>
      <c r="O27" s="169"/>
      <c r="P27" s="169"/>
      <c r="Q27" s="169"/>
    </row>
    <row r="28" spans="1:17" ht="17.100000000000001" customHeight="1">
      <c r="A28" s="168"/>
      <c r="B28" s="490"/>
      <c r="C28" s="490"/>
      <c r="D28" s="490"/>
      <c r="E28" s="490"/>
      <c r="F28" s="490"/>
      <c r="G28" s="490"/>
      <c r="H28" s="490"/>
      <c r="I28" s="490"/>
      <c r="J28" s="490"/>
      <c r="K28" s="490"/>
      <c r="L28" s="490"/>
      <c r="M28" s="490"/>
      <c r="N28" s="169"/>
      <c r="O28" s="169"/>
      <c r="P28" s="169"/>
      <c r="Q28" s="169"/>
    </row>
    <row r="29" spans="1:17" ht="17.100000000000001" customHeight="1">
      <c r="A29" s="197"/>
      <c r="B29" s="169"/>
      <c r="C29" s="386"/>
      <c r="D29" s="386"/>
      <c r="E29" s="169"/>
      <c r="F29" s="169"/>
      <c r="G29" s="169"/>
      <c r="H29" s="169"/>
      <c r="I29" s="525">
        <v>3165</v>
      </c>
      <c r="J29" s="525"/>
      <c r="K29" s="163" t="s">
        <v>267</v>
      </c>
      <c r="L29" s="398"/>
      <c r="M29" s="399">
        <v>337</v>
      </c>
      <c r="N29" s="163"/>
      <c r="O29" s="400" t="s">
        <v>345</v>
      </c>
      <c r="P29" s="163"/>
      <c r="Q29" s="401">
        <f>I29*M29</f>
        <v>1066605</v>
      </c>
    </row>
    <row r="31" spans="1:17" ht="17.100000000000001" customHeight="1">
      <c r="A31" s="168">
        <v>7</v>
      </c>
      <c r="B31" s="479" t="s">
        <v>166</v>
      </c>
      <c r="C31" s="479"/>
      <c r="D31" s="479"/>
      <c r="E31" s="479"/>
      <c r="F31" s="479"/>
      <c r="G31" s="479"/>
      <c r="H31" s="479"/>
      <c r="I31" s="479"/>
      <c r="J31" s="479"/>
      <c r="K31" s="479"/>
      <c r="L31" s="479"/>
      <c r="M31" s="479"/>
      <c r="P31" s="131" t="s">
        <v>14</v>
      </c>
    </row>
    <row r="32" spans="1:17" ht="17.100000000000001" customHeight="1">
      <c r="A32" s="168"/>
      <c r="B32" s="479"/>
      <c r="C32" s="479"/>
      <c r="D32" s="479"/>
      <c r="E32" s="479"/>
      <c r="F32" s="479"/>
      <c r="G32" s="479"/>
      <c r="H32" s="479"/>
      <c r="I32" s="479"/>
      <c r="J32" s="479"/>
      <c r="K32" s="479"/>
      <c r="L32" s="479"/>
      <c r="M32" s="479"/>
    </row>
    <row r="33" spans="1:17" ht="17.100000000000001" customHeight="1">
      <c r="A33" s="169"/>
      <c r="B33" s="169"/>
      <c r="C33" s="169"/>
      <c r="D33" s="169"/>
      <c r="E33" s="169"/>
      <c r="F33" s="468"/>
      <c r="G33" s="468"/>
      <c r="H33" s="133"/>
      <c r="I33" s="525">
        <v>4153</v>
      </c>
      <c r="J33" s="525"/>
      <c r="K33" s="163" t="s">
        <v>267</v>
      </c>
      <c r="L33" s="398"/>
      <c r="M33" s="399">
        <v>3630</v>
      </c>
      <c r="N33" s="163"/>
      <c r="O33" s="400" t="s">
        <v>346</v>
      </c>
      <c r="P33" s="163"/>
      <c r="Q33" s="401">
        <f>I33*M33/1000</f>
        <v>15075.39</v>
      </c>
    </row>
    <row r="34" spans="1:17" ht="17.100000000000001" customHeight="1">
      <c r="A34" s="168">
        <v>8</v>
      </c>
      <c r="B34" s="479" t="s">
        <v>307</v>
      </c>
      <c r="C34" s="479"/>
      <c r="D34" s="479"/>
      <c r="E34" s="479"/>
      <c r="F34" s="479"/>
      <c r="G34" s="479"/>
      <c r="H34" s="479"/>
      <c r="I34" s="479"/>
      <c r="J34" s="479"/>
      <c r="K34" s="479"/>
      <c r="L34" s="479"/>
      <c r="M34" s="479"/>
      <c r="N34" s="390"/>
      <c r="O34" s="385"/>
      <c r="P34" s="385"/>
      <c r="Q34" s="209"/>
    </row>
    <row r="35" spans="1:17" ht="17.100000000000001" customHeight="1">
      <c r="A35" s="169"/>
      <c r="B35" s="169"/>
      <c r="C35" s="169"/>
      <c r="D35" s="169"/>
      <c r="E35" s="169"/>
      <c r="F35" s="468"/>
      <c r="G35" s="468"/>
      <c r="H35" s="133"/>
      <c r="I35" s="525">
        <v>4153</v>
      </c>
      <c r="J35" s="525"/>
      <c r="K35" s="163" t="s">
        <v>267</v>
      </c>
      <c r="L35" s="398"/>
      <c r="M35" s="399">
        <v>771.96</v>
      </c>
      <c r="N35" s="163"/>
      <c r="O35" s="400" t="s">
        <v>268</v>
      </c>
      <c r="P35" s="163"/>
      <c r="Q35" s="401">
        <f>I35*M35/100</f>
        <v>32059.498800000005</v>
      </c>
    </row>
    <row r="36" spans="1:17" ht="17.100000000000001" customHeight="1">
      <c r="A36" s="169"/>
      <c r="B36" s="169"/>
      <c r="C36" s="169"/>
      <c r="D36" s="169"/>
      <c r="E36" s="169"/>
      <c r="F36" s="394"/>
      <c r="G36" s="394"/>
      <c r="H36" s="133"/>
      <c r="I36" s="402"/>
      <c r="J36" s="402"/>
      <c r="K36" s="163"/>
      <c r="L36" s="398"/>
      <c r="M36" s="408"/>
      <c r="N36" s="163"/>
      <c r="O36" s="400"/>
      <c r="P36" s="163"/>
      <c r="Q36" s="401"/>
    </row>
    <row r="37" spans="1:17" ht="17.100000000000001" customHeight="1">
      <c r="A37" s="220">
        <v>9</v>
      </c>
      <c r="B37" s="467" t="s">
        <v>168</v>
      </c>
      <c r="C37" s="467"/>
      <c r="D37" s="467"/>
      <c r="E37" s="467"/>
      <c r="F37" s="467"/>
      <c r="G37" s="467"/>
      <c r="H37" s="467"/>
      <c r="I37" s="467"/>
      <c r="J37" s="467"/>
      <c r="K37" s="467"/>
      <c r="L37" s="467"/>
      <c r="M37" s="467"/>
      <c r="N37" s="386"/>
      <c r="O37" s="178"/>
      <c r="P37" s="221"/>
      <c r="Q37" s="169"/>
    </row>
    <row r="38" spans="1:17" ht="17.100000000000001" customHeight="1">
      <c r="A38" s="220"/>
      <c r="B38" s="467"/>
      <c r="C38" s="467"/>
      <c r="D38" s="467"/>
      <c r="E38" s="467"/>
      <c r="F38" s="467"/>
      <c r="G38" s="467"/>
      <c r="H38" s="467"/>
      <c r="I38" s="467"/>
      <c r="J38" s="467"/>
      <c r="K38" s="467"/>
      <c r="L38" s="467"/>
      <c r="M38" s="467"/>
      <c r="N38" s="386"/>
      <c r="O38" s="178"/>
      <c r="P38" s="221"/>
      <c r="Q38" s="169"/>
    </row>
    <row r="39" spans="1:17" ht="17.100000000000001" customHeight="1">
      <c r="A39" s="220"/>
      <c r="B39" s="169"/>
      <c r="C39" s="388"/>
      <c r="D39" s="389"/>
      <c r="E39" s="389"/>
      <c r="F39" s="389"/>
      <c r="G39" s="389"/>
      <c r="H39" s="389"/>
      <c r="I39" s="525">
        <v>3869</v>
      </c>
      <c r="J39" s="525"/>
      <c r="K39" s="163" t="s">
        <v>267</v>
      </c>
      <c r="L39" s="398"/>
      <c r="M39" s="399">
        <v>12674.36</v>
      </c>
      <c r="N39" s="163"/>
      <c r="O39" s="400" t="s">
        <v>268</v>
      </c>
      <c r="P39" s="163"/>
      <c r="Q39" s="401">
        <f>I39*M39/100</f>
        <v>490370.98840000003</v>
      </c>
    </row>
    <row r="40" spans="1:17" ht="17.100000000000001" customHeight="1">
      <c r="A40" s="220">
        <v>10</v>
      </c>
      <c r="B40" s="479" t="s">
        <v>175</v>
      </c>
      <c r="C40" s="479"/>
      <c r="D40" s="479"/>
      <c r="E40" s="479"/>
      <c r="F40" s="479"/>
      <c r="G40" s="479"/>
      <c r="H40" s="479"/>
      <c r="I40" s="479"/>
      <c r="J40" s="479"/>
      <c r="K40" s="479"/>
      <c r="L40" s="479"/>
      <c r="M40" s="479"/>
      <c r="N40" s="479"/>
      <c r="O40" s="479"/>
      <c r="P40" s="479"/>
      <c r="Q40" s="169"/>
    </row>
    <row r="41" spans="1:17" ht="17.100000000000001" customHeight="1">
      <c r="A41" s="386"/>
      <c r="B41" s="389"/>
      <c r="C41" s="169"/>
      <c r="D41" s="216"/>
      <c r="E41" s="389"/>
      <c r="F41" s="389"/>
      <c r="G41" s="389"/>
      <c r="H41" s="388"/>
      <c r="I41" s="177"/>
      <c r="J41" s="177"/>
      <c r="K41" s="199"/>
      <c r="L41" s="386"/>
      <c r="M41" s="187"/>
      <c r="N41" s="386"/>
      <c r="O41" s="178"/>
      <c r="P41" s="193"/>
      <c r="Q41" s="206"/>
    </row>
    <row r="42" spans="1:17" ht="17.100000000000001" customHeight="1">
      <c r="A42" s="386"/>
      <c r="B42" s="389"/>
      <c r="C42" s="169"/>
      <c r="D42" s="216"/>
      <c r="E42" s="389"/>
      <c r="F42" s="389"/>
      <c r="G42" s="389"/>
      <c r="H42" s="388"/>
      <c r="I42" s="525">
        <v>9428</v>
      </c>
      <c r="J42" s="525"/>
      <c r="K42" s="163" t="s">
        <v>13</v>
      </c>
      <c r="L42" s="398"/>
      <c r="M42" s="399">
        <v>2206.6</v>
      </c>
      <c r="N42" s="163"/>
      <c r="O42" s="400" t="s">
        <v>275</v>
      </c>
      <c r="P42" s="163"/>
      <c r="Q42" s="401">
        <f>I42*M42/100</f>
        <v>208038.24800000002</v>
      </c>
    </row>
    <row r="43" spans="1:17" ht="17.100000000000001" customHeight="1">
      <c r="A43" s="220">
        <v>11</v>
      </c>
      <c r="B43" s="467" t="s">
        <v>177</v>
      </c>
      <c r="C43" s="467"/>
      <c r="D43" s="467"/>
      <c r="E43" s="467"/>
      <c r="F43" s="467"/>
      <c r="G43" s="467"/>
      <c r="H43" s="467"/>
      <c r="I43" s="467"/>
      <c r="J43" s="467"/>
      <c r="K43" s="467"/>
      <c r="L43" s="467"/>
      <c r="M43" s="467"/>
      <c r="N43" s="169"/>
      <c r="O43" s="169"/>
      <c r="P43" s="169"/>
      <c r="Q43" s="206"/>
    </row>
    <row r="44" spans="1:17" ht="17.100000000000001" customHeight="1">
      <c r="A44" s="386"/>
      <c r="B44" s="169"/>
      <c r="C44" s="169"/>
      <c r="D44" s="169"/>
      <c r="E44" s="169"/>
      <c r="F44" s="468"/>
      <c r="G44" s="468"/>
      <c r="H44" s="469"/>
      <c r="I44" s="469"/>
      <c r="J44" s="486"/>
      <c r="K44" s="486"/>
      <c r="L44" s="483"/>
      <c r="M44" s="483"/>
      <c r="N44" s="390"/>
      <c r="O44" s="474"/>
      <c r="P44" s="474"/>
      <c r="Q44" s="209"/>
    </row>
    <row r="45" spans="1:17" ht="17.100000000000001" customHeight="1">
      <c r="A45" s="386"/>
      <c r="B45" s="169"/>
      <c r="C45" s="169"/>
      <c r="D45" s="169"/>
      <c r="E45" s="169"/>
      <c r="F45" s="468"/>
      <c r="G45" s="468"/>
      <c r="H45" s="133"/>
      <c r="I45" s="525">
        <v>10131</v>
      </c>
      <c r="J45" s="525"/>
      <c r="K45" s="163" t="s">
        <v>13</v>
      </c>
      <c r="L45" s="398"/>
      <c r="M45" s="399">
        <v>2197.52</v>
      </c>
      <c r="N45" s="163"/>
      <c r="O45" s="400" t="s">
        <v>275</v>
      </c>
      <c r="P45" s="163"/>
      <c r="Q45" s="401">
        <f>I45*M45/100</f>
        <v>222630.7512</v>
      </c>
    </row>
    <row r="46" spans="1:17" ht="17.100000000000001" customHeight="1">
      <c r="A46" s="220">
        <v>12</v>
      </c>
      <c r="B46" s="467" t="s">
        <v>331</v>
      </c>
      <c r="C46" s="467"/>
      <c r="D46" s="467"/>
      <c r="E46" s="467"/>
      <c r="F46" s="467"/>
      <c r="G46" s="467"/>
      <c r="H46" s="467"/>
      <c r="I46" s="467"/>
      <c r="J46" s="467"/>
      <c r="K46" s="467"/>
      <c r="L46" s="467"/>
      <c r="M46" s="467"/>
      <c r="N46" s="386"/>
      <c r="O46" s="188"/>
      <c r="P46" s="169"/>
      <c r="Q46" s="169"/>
    </row>
    <row r="47" spans="1:17" ht="17.100000000000001" customHeight="1">
      <c r="A47" s="220"/>
      <c r="B47" s="467"/>
      <c r="C47" s="467"/>
      <c r="D47" s="467"/>
      <c r="E47" s="467"/>
      <c r="F47" s="467"/>
      <c r="G47" s="467"/>
      <c r="H47" s="467"/>
      <c r="I47" s="467"/>
      <c r="J47" s="467"/>
      <c r="K47" s="467"/>
      <c r="L47" s="467"/>
      <c r="M47" s="467"/>
      <c r="N47" s="386"/>
      <c r="O47" s="188"/>
      <c r="P47" s="169"/>
      <c r="Q47" s="169"/>
    </row>
    <row r="48" spans="1:17" ht="17.100000000000001" customHeight="1">
      <c r="A48" s="386"/>
      <c r="B48" s="169"/>
      <c r="C48" s="169"/>
      <c r="D48" s="169"/>
      <c r="E48" s="169"/>
      <c r="F48" s="468"/>
      <c r="G48" s="468"/>
      <c r="H48" s="133"/>
      <c r="I48" s="525">
        <v>2845</v>
      </c>
      <c r="J48" s="525"/>
      <c r="K48" s="163" t="s">
        <v>13</v>
      </c>
      <c r="L48" s="398"/>
      <c r="M48" s="399">
        <v>3275.5</v>
      </c>
      <c r="N48" s="163"/>
      <c r="O48" s="400" t="s">
        <v>275</v>
      </c>
      <c r="P48" s="163"/>
      <c r="Q48" s="401">
        <f>I48*M48/100</f>
        <v>93187.975000000006</v>
      </c>
    </row>
    <row r="50" spans="1:17" ht="17.100000000000001" customHeight="1">
      <c r="A50" s="168">
        <v>13</v>
      </c>
      <c r="B50" s="467" t="s">
        <v>322</v>
      </c>
      <c r="C50" s="467"/>
      <c r="D50" s="467"/>
      <c r="E50" s="467"/>
      <c r="F50" s="467"/>
      <c r="G50" s="467"/>
      <c r="H50" s="467"/>
      <c r="I50" s="467"/>
      <c r="J50" s="467"/>
      <c r="K50" s="467"/>
      <c r="L50" s="467"/>
      <c r="M50" s="467"/>
    </row>
    <row r="51" spans="1:17" ht="17.100000000000001" customHeight="1">
      <c r="A51" s="168"/>
      <c r="B51" s="467"/>
      <c r="C51" s="467"/>
      <c r="D51" s="467"/>
      <c r="E51" s="467"/>
      <c r="F51" s="467"/>
      <c r="G51" s="467"/>
      <c r="H51" s="467"/>
      <c r="I51" s="467"/>
      <c r="J51" s="467"/>
      <c r="K51" s="467"/>
      <c r="L51" s="467"/>
      <c r="M51" s="467"/>
    </row>
    <row r="52" spans="1:17" ht="17.100000000000001" customHeight="1">
      <c r="B52" s="169"/>
      <c r="C52" s="169"/>
      <c r="D52" s="169"/>
      <c r="E52" s="169"/>
      <c r="F52" s="382"/>
      <c r="G52" s="382"/>
      <c r="H52" s="383"/>
      <c r="I52" s="525">
        <v>9500</v>
      </c>
      <c r="J52" s="525"/>
      <c r="K52" s="163" t="s">
        <v>13</v>
      </c>
      <c r="L52" s="398"/>
      <c r="M52" s="399">
        <v>4411.82</v>
      </c>
      <c r="N52" s="163"/>
      <c r="O52" s="400" t="s">
        <v>275</v>
      </c>
      <c r="P52" s="163"/>
      <c r="Q52" s="401">
        <f>I52*M52/100</f>
        <v>419122.9</v>
      </c>
    </row>
    <row r="53" spans="1:17" ht="17.100000000000001" customHeight="1">
      <c r="B53" s="169"/>
      <c r="C53" s="169"/>
      <c r="D53" s="169"/>
      <c r="E53" s="169"/>
      <c r="F53" s="394"/>
      <c r="G53" s="394"/>
      <c r="H53" s="393"/>
      <c r="I53" s="402"/>
      <c r="J53" s="402"/>
      <c r="K53" s="163"/>
      <c r="L53" s="398"/>
      <c r="M53" s="408"/>
      <c r="N53" s="163"/>
      <c r="O53" s="400"/>
      <c r="P53" s="163"/>
      <c r="Q53" s="401"/>
    </row>
    <row r="54" spans="1:17" ht="17.100000000000001" customHeight="1">
      <c r="A54" s="220">
        <v>14</v>
      </c>
      <c r="B54" s="479" t="s">
        <v>190</v>
      </c>
      <c r="C54" s="479"/>
      <c r="D54" s="479"/>
      <c r="E54" s="479"/>
      <c r="F54" s="479"/>
      <c r="G54" s="479"/>
      <c r="H54" s="479"/>
      <c r="I54" s="479"/>
      <c r="J54" s="479"/>
      <c r="K54" s="479"/>
      <c r="L54" s="479"/>
      <c r="M54" s="479"/>
      <c r="N54" s="240"/>
      <c r="O54" s="240"/>
      <c r="P54" s="240"/>
      <c r="Q54" s="169"/>
    </row>
    <row r="55" spans="1:17" ht="17.100000000000001" customHeight="1">
      <c r="A55" s="220"/>
      <c r="B55" s="479"/>
      <c r="C55" s="479"/>
      <c r="D55" s="479"/>
      <c r="E55" s="479"/>
      <c r="F55" s="479"/>
      <c r="G55" s="479"/>
      <c r="H55" s="479"/>
      <c r="I55" s="479"/>
      <c r="J55" s="479"/>
      <c r="K55" s="479"/>
      <c r="L55" s="479"/>
      <c r="M55" s="479"/>
      <c r="N55" s="240"/>
      <c r="O55" s="240"/>
      <c r="P55" s="240"/>
      <c r="Q55" s="169"/>
    </row>
    <row r="56" spans="1:17" ht="17.100000000000001" customHeight="1">
      <c r="A56" s="220"/>
      <c r="B56" s="479"/>
      <c r="C56" s="479"/>
      <c r="D56" s="479"/>
      <c r="E56" s="479"/>
      <c r="F56" s="479"/>
      <c r="G56" s="479"/>
      <c r="H56" s="479"/>
      <c r="I56" s="479"/>
      <c r="J56" s="479"/>
      <c r="K56" s="479"/>
      <c r="L56" s="479"/>
      <c r="M56" s="479"/>
      <c r="N56" s="240"/>
      <c r="O56" s="240"/>
      <c r="P56" s="240"/>
      <c r="Q56" s="169"/>
    </row>
    <row r="57" spans="1:17" ht="17.100000000000001" customHeight="1">
      <c r="A57" s="220"/>
      <c r="B57" s="169"/>
      <c r="C57" s="388"/>
      <c r="D57" s="389"/>
      <c r="E57" s="389"/>
      <c r="F57" s="389"/>
      <c r="G57" s="389"/>
      <c r="H57" s="389"/>
      <c r="I57" s="525">
        <v>410</v>
      </c>
      <c r="J57" s="525"/>
      <c r="K57" s="163" t="s">
        <v>13</v>
      </c>
      <c r="L57" s="398"/>
      <c r="M57" s="409">
        <v>1276.73</v>
      </c>
      <c r="N57" s="163"/>
      <c r="O57" s="400" t="s">
        <v>276</v>
      </c>
      <c r="P57" s="163"/>
      <c r="Q57" s="401">
        <f>I57*M57</f>
        <v>523459.3</v>
      </c>
    </row>
    <row r="59" spans="1:17" ht="17.100000000000001" customHeight="1">
      <c r="A59" s="220">
        <v>15</v>
      </c>
      <c r="B59" s="479" t="s">
        <v>191</v>
      </c>
      <c r="C59" s="479"/>
      <c r="D59" s="479"/>
      <c r="E59" s="479"/>
      <c r="F59" s="479"/>
      <c r="G59" s="479"/>
      <c r="H59" s="479"/>
      <c r="I59" s="479"/>
      <c r="J59" s="479"/>
      <c r="K59" s="479"/>
      <c r="L59" s="479"/>
      <c r="M59" s="479"/>
      <c r="N59" s="479"/>
      <c r="O59" s="479"/>
      <c r="P59" s="479"/>
    </row>
    <row r="60" spans="1:17" ht="17.100000000000001" customHeight="1">
      <c r="B60" s="169"/>
      <c r="C60" s="169"/>
      <c r="D60" s="169"/>
      <c r="E60" s="169"/>
      <c r="F60" s="169"/>
      <c r="G60" s="169"/>
      <c r="H60" s="169"/>
      <c r="I60" s="169"/>
      <c r="J60" s="169"/>
      <c r="K60" s="169"/>
      <c r="L60" s="169"/>
      <c r="M60" s="169"/>
      <c r="N60" s="169"/>
      <c r="O60" s="239"/>
      <c r="P60" s="237"/>
    </row>
    <row r="61" spans="1:17" ht="17.100000000000001" customHeight="1">
      <c r="A61" s="139"/>
      <c r="B61" s="139"/>
      <c r="C61" s="139"/>
      <c r="D61" s="139"/>
      <c r="E61" s="139"/>
      <c r="F61" s="139"/>
      <c r="G61" s="139"/>
      <c r="H61" s="139"/>
      <c r="I61" s="525">
        <v>9428</v>
      </c>
      <c r="J61" s="525"/>
      <c r="K61" s="163" t="s">
        <v>13</v>
      </c>
      <c r="L61" s="398"/>
      <c r="M61" s="409">
        <v>442.75</v>
      </c>
      <c r="N61" s="163"/>
      <c r="O61" s="400" t="s">
        <v>275</v>
      </c>
      <c r="P61" s="163"/>
      <c r="Q61" s="401">
        <f>I61*M61/100</f>
        <v>41742.47</v>
      </c>
    </row>
    <row r="62" spans="1:17" ht="17.100000000000001" customHeight="1">
      <c r="A62" s="220">
        <v>16</v>
      </c>
      <c r="B62" s="488" t="s">
        <v>192</v>
      </c>
      <c r="C62" s="488"/>
      <c r="D62" s="488"/>
      <c r="E62" s="488"/>
      <c r="F62" s="488"/>
      <c r="G62" s="488"/>
      <c r="H62" s="488"/>
      <c r="I62" s="488"/>
      <c r="J62" s="488"/>
      <c r="K62" s="488"/>
      <c r="L62" s="488"/>
      <c r="M62" s="488"/>
      <c r="N62" s="390"/>
      <c r="O62" s="385"/>
      <c r="P62" s="385"/>
      <c r="Q62" s="209"/>
    </row>
    <row r="63" spans="1:17" ht="17.100000000000001" customHeight="1">
      <c r="A63" s="386"/>
      <c r="B63" s="169"/>
      <c r="C63" s="169"/>
      <c r="D63" s="169"/>
      <c r="E63" s="169"/>
      <c r="F63" s="169"/>
      <c r="G63" s="169"/>
      <c r="H63" s="169"/>
      <c r="I63" s="169"/>
      <c r="J63" s="169"/>
      <c r="K63" s="169"/>
      <c r="L63" s="169"/>
      <c r="M63" s="169"/>
      <c r="N63" s="169"/>
      <c r="O63" s="169"/>
      <c r="P63" s="169"/>
      <c r="Q63" s="206"/>
    </row>
    <row r="64" spans="1:17" ht="17.100000000000001" customHeight="1">
      <c r="A64" s="139"/>
      <c r="B64" s="139"/>
      <c r="C64" s="139"/>
      <c r="D64" s="139"/>
      <c r="E64" s="139"/>
      <c r="F64" s="139"/>
      <c r="G64" s="139"/>
      <c r="H64" s="139"/>
      <c r="I64" s="525">
        <v>9428</v>
      </c>
      <c r="J64" s="525"/>
      <c r="K64" s="163" t="s">
        <v>13</v>
      </c>
      <c r="L64" s="398"/>
      <c r="M64" s="409">
        <v>1079.6500000000001</v>
      </c>
      <c r="N64" s="163"/>
      <c r="O64" s="400" t="s">
        <v>275</v>
      </c>
      <c r="P64" s="163"/>
      <c r="Q64" s="401">
        <f>I64*M64/100</f>
        <v>101789.40200000002</v>
      </c>
    </row>
    <row r="65" spans="1:17" ht="17.100000000000001" customHeight="1">
      <c r="A65" s="220">
        <v>17</v>
      </c>
      <c r="B65" s="467" t="s">
        <v>193</v>
      </c>
      <c r="C65" s="467"/>
      <c r="D65" s="467"/>
      <c r="E65" s="467"/>
      <c r="F65" s="467"/>
      <c r="G65" s="467"/>
      <c r="H65" s="467"/>
      <c r="I65" s="467"/>
      <c r="J65" s="467"/>
      <c r="K65" s="467"/>
      <c r="L65" s="467"/>
      <c r="M65" s="467"/>
      <c r="N65" s="390"/>
      <c r="O65" s="385"/>
      <c r="P65" s="385"/>
      <c r="Q65" s="209"/>
    </row>
    <row r="66" spans="1:17" ht="17.100000000000001" customHeight="1">
      <c r="A66" s="220"/>
      <c r="B66" s="467"/>
      <c r="C66" s="467"/>
      <c r="D66" s="467"/>
      <c r="E66" s="467"/>
      <c r="F66" s="467"/>
      <c r="G66" s="467"/>
      <c r="H66" s="467"/>
      <c r="I66" s="467"/>
      <c r="J66" s="467"/>
      <c r="K66" s="467"/>
      <c r="L66" s="467"/>
      <c r="M66" s="467"/>
      <c r="N66" s="390"/>
      <c r="O66" s="385"/>
      <c r="P66" s="385"/>
      <c r="Q66" s="209"/>
    </row>
    <row r="67" spans="1:17" ht="17.100000000000001" customHeight="1">
      <c r="A67" s="139"/>
      <c r="B67" s="139"/>
      <c r="C67" s="139"/>
      <c r="D67" s="139"/>
      <c r="E67" s="139"/>
      <c r="F67" s="139"/>
      <c r="G67" s="139"/>
      <c r="H67" s="139"/>
      <c r="I67" s="525">
        <v>820</v>
      </c>
      <c r="J67" s="525"/>
      <c r="K67" s="163" t="s">
        <v>13</v>
      </c>
      <c r="L67" s="398"/>
      <c r="M67" s="409">
        <v>2116.41</v>
      </c>
      <c r="N67" s="163"/>
      <c r="O67" s="400" t="s">
        <v>275</v>
      </c>
      <c r="P67" s="163"/>
      <c r="Q67" s="401">
        <f>I67*M67/100</f>
        <v>17354.561999999998</v>
      </c>
    </row>
    <row r="68" spans="1:17" ht="17.100000000000001" customHeight="1">
      <c r="A68" s="197"/>
    </row>
    <row r="69" spans="1:17" ht="17.100000000000001" customHeight="1" thickBot="1">
      <c r="A69" s="220"/>
      <c r="B69" s="169"/>
      <c r="C69" s="169"/>
      <c r="D69" s="169"/>
      <c r="E69" s="169"/>
      <c r="F69" s="169"/>
      <c r="G69" s="169"/>
      <c r="H69" s="169"/>
      <c r="I69" s="402"/>
      <c r="J69" s="402"/>
      <c r="K69" s="163"/>
      <c r="L69" s="398"/>
      <c r="M69" s="403" t="s">
        <v>344</v>
      </c>
      <c r="N69" s="404"/>
      <c r="O69" s="405"/>
      <c r="P69" s="406"/>
      <c r="Q69" s="407">
        <f>SUM(Q9:Q68)</f>
        <v>3708494.6228999998</v>
      </c>
    </row>
    <row r="70" spans="1:17" ht="17.100000000000001" customHeight="1" thickTop="1">
      <c r="A70" s="197"/>
      <c r="B70" s="410" t="s">
        <v>347</v>
      </c>
    </row>
    <row r="71" spans="1:17" ht="17.100000000000001" customHeight="1">
      <c r="A71" s="168">
        <v>1</v>
      </c>
      <c r="B71" s="479" t="s">
        <v>160</v>
      </c>
      <c r="C71" s="479"/>
      <c r="D71" s="479"/>
      <c r="E71" s="479"/>
      <c r="F71" s="479"/>
      <c r="G71" s="479"/>
      <c r="H71" s="479"/>
      <c r="I71" s="479"/>
      <c r="J71" s="479"/>
      <c r="K71" s="479"/>
      <c r="L71" s="479"/>
      <c r="M71" s="479"/>
      <c r="N71" s="198"/>
      <c r="O71" s="198"/>
      <c r="P71" s="198"/>
      <c r="Q71" s="169"/>
    </row>
    <row r="72" spans="1:17" ht="17.100000000000001" customHeight="1">
      <c r="A72" s="168"/>
      <c r="B72" s="479"/>
      <c r="C72" s="479"/>
      <c r="D72" s="479"/>
      <c r="E72" s="479"/>
      <c r="F72" s="479"/>
      <c r="G72" s="479"/>
      <c r="H72" s="479"/>
      <c r="I72" s="479"/>
      <c r="J72" s="479"/>
      <c r="K72" s="479"/>
      <c r="L72" s="479"/>
      <c r="M72" s="479"/>
      <c r="N72" s="198"/>
      <c r="O72" s="198"/>
      <c r="P72" s="198"/>
      <c r="Q72" s="169"/>
    </row>
    <row r="73" spans="1:17" ht="17.100000000000001" customHeight="1">
      <c r="A73" s="168"/>
      <c r="B73" s="479"/>
      <c r="C73" s="479"/>
      <c r="D73" s="479"/>
      <c r="E73" s="479"/>
      <c r="F73" s="479"/>
      <c r="G73" s="479"/>
      <c r="H73" s="479"/>
      <c r="I73" s="479"/>
      <c r="J73" s="479"/>
      <c r="K73" s="479"/>
      <c r="L73" s="479"/>
      <c r="M73" s="479"/>
      <c r="N73" s="198"/>
      <c r="O73" s="198"/>
      <c r="P73" s="198"/>
      <c r="Q73" s="169"/>
    </row>
    <row r="74" spans="1:17" ht="17.100000000000001" customHeight="1">
      <c r="I74" s="526">
        <v>155.4</v>
      </c>
      <c r="J74" s="526"/>
      <c r="K74" s="163" t="s">
        <v>267</v>
      </c>
      <c r="L74" s="398"/>
      <c r="M74" s="399">
        <v>5001.7</v>
      </c>
      <c r="N74" s="163"/>
      <c r="O74" s="400" t="s">
        <v>274</v>
      </c>
      <c r="P74" s="163"/>
      <c r="Q74" s="401">
        <f>I74*M74</f>
        <v>777264.18</v>
      </c>
    </row>
    <row r="75" spans="1:17" ht="17.100000000000001" customHeight="1">
      <c r="A75" s="197"/>
    </row>
    <row r="76" spans="1:17" ht="17.100000000000001" customHeight="1">
      <c r="A76" s="168">
        <v>2</v>
      </c>
      <c r="B76" s="479" t="s">
        <v>188</v>
      </c>
      <c r="C76" s="479"/>
      <c r="D76" s="479"/>
      <c r="E76" s="479"/>
      <c r="F76" s="479"/>
      <c r="G76" s="479"/>
      <c r="H76" s="479"/>
      <c r="I76" s="479"/>
      <c r="J76" s="479"/>
      <c r="K76" s="479"/>
      <c r="L76" s="479"/>
      <c r="M76" s="479"/>
      <c r="N76" s="240"/>
      <c r="O76" s="240"/>
      <c r="P76" s="169"/>
      <c r="Q76" s="169"/>
    </row>
    <row r="77" spans="1:17" ht="17.100000000000001" customHeight="1">
      <c r="A77" s="168"/>
      <c r="B77" s="479"/>
      <c r="C77" s="479"/>
      <c r="D77" s="479"/>
      <c r="E77" s="479"/>
      <c r="F77" s="479"/>
      <c r="G77" s="479"/>
      <c r="H77" s="479"/>
      <c r="I77" s="479"/>
      <c r="J77" s="479"/>
      <c r="K77" s="479"/>
      <c r="L77" s="479"/>
      <c r="M77" s="479"/>
      <c r="N77" s="240"/>
      <c r="O77" s="240"/>
      <c r="P77" s="169"/>
      <c r="Q77" s="169"/>
    </row>
    <row r="78" spans="1:17" ht="17.100000000000001" customHeight="1">
      <c r="A78" s="168"/>
      <c r="B78" s="387"/>
      <c r="C78" s="387"/>
      <c r="D78" s="387"/>
      <c r="E78" s="387"/>
      <c r="F78" s="387"/>
      <c r="G78" s="387"/>
      <c r="H78" s="387"/>
      <c r="I78" s="387"/>
      <c r="J78" s="387"/>
      <c r="K78" s="387"/>
      <c r="L78" s="387"/>
      <c r="M78" s="387"/>
      <c r="N78" s="240"/>
      <c r="O78" s="240"/>
      <c r="P78" s="169"/>
      <c r="Q78" s="169"/>
    </row>
    <row r="79" spans="1:17" ht="17.100000000000001" customHeight="1">
      <c r="A79" s="197"/>
      <c r="B79" s="169"/>
      <c r="C79" s="386"/>
      <c r="D79" s="386"/>
      <c r="E79" s="169"/>
      <c r="F79" s="382"/>
      <c r="G79" s="382"/>
      <c r="H79" s="383"/>
      <c r="I79" s="525">
        <v>324</v>
      </c>
      <c r="J79" s="525"/>
      <c r="K79" s="163" t="s">
        <v>13</v>
      </c>
      <c r="L79" s="398"/>
      <c r="M79" s="409">
        <v>194.16</v>
      </c>
      <c r="N79" s="163"/>
      <c r="O79" s="400" t="s">
        <v>276</v>
      </c>
      <c r="P79" s="163"/>
      <c r="Q79" s="401">
        <f>I79*M79</f>
        <v>62907.839999999997</v>
      </c>
    </row>
    <row r="80" spans="1:17" ht="17.100000000000001" customHeight="1">
      <c r="A80" s="197"/>
    </row>
    <row r="81" spans="1:17" ht="17.100000000000001" customHeight="1" thickBot="1">
      <c r="A81" s="220"/>
      <c r="B81" s="169"/>
      <c r="C81" s="169"/>
      <c r="D81" s="169"/>
      <c r="E81" s="169"/>
      <c r="F81" s="169"/>
      <c r="G81" s="169"/>
      <c r="H81" s="169"/>
      <c r="I81" s="402"/>
      <c r="J81" s="402"/>
      <c r="K81" s="163"/>
      <c r="L81" s="398"/>
      <c r="M81" s="403" t="s">
        <v>344</v>
      </c>
      <c r="N81" s="404"/>
      <c r="O81" s="405"/>
      <c r="P81" s="406"/>
      <c r="Q81" s="407">
        <f>SUM(Q74:Q80)</f>
        <v>840172.02</v>
      </c>
    </row>
    <row r="82" spans="1:17" ht="17.100000000000001" customHeight="1" thickTop="1">
      <c r="A82" s="197"/>
      <c r="B82" s="410" t="s">
        <v>348</v>
      </c>
    </row>
    <row r="83" spans="1:17" ht="17.100000000000001" customHeight="1">
      <c r="A83" s="220">
        <v>1</v>
      </c>
      <c r="B83" s="479" t="s">
        <v>181</v>
      </c>
      <c r="C83" s="479"/>
      <c r="D83" s="479"/>
      <c r="E83" s="479"/>
      <c r="F83" s="479"/>
      <c r="G83" s="479"/>
      <c r="H83" s="479"/>
      <c r="I83" s="479"/>
      <c r="J83" s="479"/>
      <c r="K83" s="479"/>
      <c r="L83" s="479"/>
      <c r="M83" s="479"/>
      <c r="N83" s="169"/>
      <c r="O83" s="169"/>
      <c r="P83" s="169"/>
      <c r="Q83" s="169"/>
    </row>
    <row r="84" spans="1:17" ht="17.100000000000001" customHeight="1">
      <c r="A84" s="220"/>
      <c r="B84" s="479"/>
      <c r="C84" s="479"/>
      <c r="D84" s="479"/>
      <c r="E84" s="479"/>
      <c r="F84" s="479"/>
      <c r="G84" s="479"/>
      <c r="H84" s="479"/>
      <c r="I84" s="479"/>
      <c r="J84" s="479"/>
      <c r="K84" s="479"/>
      <c r="L84" s="479"/>
      <c r="M84" s="479"/>
      <c r="N84" s="169"/>
      <c r="O84" s="169"/>
      <c r="P84" s="169"/>
      <c r="Q84" s="169"/>
    </row>
    <row r="85" spans="1:17" ht="17.100000000000001" customHeight="1">
      <c r="A85" s="220"/>
      <c r="B85" s="479"/>
      <c r="C85" s="479"/>
      <c r="D85" s="479"/>
      <c r="E85" s="479"/>
      <c r="F85" s="479"/>
      <c r="G85" s="479"/>
      <c r="H85" s="479"/>
      <c r="I85" s="479"/>
      <c r="J85" s="479"/>
      <c r="K85" s="479"/>
      <c r="L85" s="479"/>
      <c r="M85" s="479"/>
      <c r="N85" s="169"/>
      <c r="O85" s="169"/>
      <c r="P85" s="169"/>
      <c r="Q85" s="169"/>
    </row>
    <row r="86" spans="1:17" ht="17.100000000000001" customHeight="1">
      <c r="A86" s="220"/>
      <c r="B86" s="479"/>
      <c r="C86" s="479"/>
      <c r="D86" s="479"/>
      <c r="E86" s="479"/>
      <c r="F86" s="479"/>
      <c r="G86" s="479"/>
      <c r="H86" s="479"/>
      <c r="I86" s="479"/>
      <c r="J86" s="479"/>
      <c r="K86" s="479"/>
      <c r="L86" s="479"/>
      <c r="M86" s="479"/>
      <c r="N86" s="169"/>
      <c r="O86" s="169"/>
      <c r="P86" s="169"/>
      <c r="Q86" s="169"/>
    </row>
    <row r="87" spans="1:17" ht="17.100000000000001" customHeight="1">
      <c r="A87" s="220"/>
      <c r="B87" s="479"/>
      <c r="C87" s="479"/>
      <c r="D87" s="479"/>
      <c r="E87" s="479"/>
      <c r="F87" s="479"/>
      <c r="G87" s="479"/>
      <c r="H87" s="479"/>
      <c r="I87" s="479"/>
      <c r="J87" s="479"/>
      <c r="K87" s="479"/>
      <c r="L87" s="479"/>
      <c r="M87" s="479"/>
      <c r="N87" s="169"/>
      <c r="O87" s="169"/>
      <c r="P87" s="169"/>
      <c r="Q87" s="169"/>
    </row>
    <row r="89" spans="1:17" ht="17.100000000000001" customHeight="1">
      <c r="B89" s="389"/>
      <c r="C89" s="169"/>
      <c r="D89" s="216"/>
      <c r="E89" s="169"/>
      <c r="F89" s="169"/>
      <c r="G89" s="169"/>
      <c r="H89" s="388"/>
      <c r="I89" s="525">
        <v>1306</v>
      </c>
      <c r="J89" s="525"/>
      <c r="K89" s="163" t="s">
        <v>13</v>
      </c>
      <c r="L89" s="398"/>
      <c r="M89" s="399">
        <v>34520.31</v>
      </c>
      <c r="N89" s="163"/>
      <c r="O89" s="400" t="s">
        <v>275</v>
      </c>
      <c r="P89" s="163"/>
      <c r="Q89" s="401">
        <f>I89*M89/100</f>
        <v>450835.24859999999</v>
      </c>
    </row>
    <row r="90" spans="1:17" ht="17.100000000000001" customHeight="1">
      <c r="A90" s="168">
        <v>2</v>
      </c>
      <c r="B90" s="467" t="s">
        <v>183</v>
      </c>
      <c r="C90" s="467"/>
      <c r="D90" s="467"/>
      <c r="E90" s="467"/>
      <c r="F90" s="467"/>
      <c r="G90" s="467"/>
      <c r="H90" s="467"/>
      <c r="I90" s="467"/>
      <c r="J90" s="467"/>
      <c r="K90" s="467"/>
      <c r="L90" s="467"/>
      <c r="M90" s="467"/>
    </row>
    <row r="91" spans="1:17" ht="17.100000000000001" customHeight="1">
      <c r="A91" s="168"/>
      <c r="B91" s="467"/>
      <c r="C91" s="467"/>
      <c r="D91" s="467"/>
      <c r="E91" s="467"/>
      <c r="F91" s="467"/>
      <c r="G91" s="467"/>
      <c r="H91" s="467"/>
      <c r="I91" s="467"/>
      <c r="J91" s="467"/>
      <c r="K91" s="467"/>
      <c r="L91" s="467"/>
      <c r="M91" s="467"/>
    </row>
    <row r="92" spans="1:17" ht="17.100000000000001" customHeight="1">
      <c r="I92" s="525">
        <v>288</v>
      </c>
      <c r="J92" s="525"/>
      <c r="K92" s="163" t="s">
        <v>13</v>
      </c>
      <c r="L92" s="398"/>
      <c r="M92" s="399">
        <v>27678.86</v>
      </c>
      <c r="N92" s="163"/>
      <c r="O92" s="400" t="s">
        <v>275</v>
      </c>
      <c r="P92" s="163"/>
      <c r="Q92" s="401">
        <f>I92*M92/100</f>
        <v>79715.116800000003</v>
      </c>
    </row>
    <row r="93" spans="1:17" ht="17.100000000000001" customHeight="1">
      <c r="A93" s="168">
        <v>3</v>
      </c>
      <c r="B93" s="467" t="s">
        <v>184</v>
      </c>
      <c r="C93" s="467"/>
      <c r="D93" s="467"/>
      <c r="E93" s="467"/>
      <c r="F93" s="467"/>
      <c r="G93" s="467"/>
      <c r="H93" s="467"/>
      <c r="I93" s="467"/>
      <c r="J93" s="467"/>
      <c r="K93" s="467"/>
      <c r="L93" s="467"/>
      <c r="M93" s="467"/>
      <c r="N93" s="386"/>
      <c r="O93" s="188"/>
      <c r="P93" s="169"/>
      <c r="Q93" s="169"/>
    </row>
    <row r="94" spans="1:17" ht="17.100000000000001" customHeight="1">
      <c r="A94" s="168"/>
      <c r="B94" s="467"/>
      <c r="C94" s="467"/>
      <c r="D94" s="467"/>
      <c r="E94" s="467"/>
      <c r="F94" s="467"/>
      <c r="G94" s="467"/>
      <c r="H94" s="467"/>
      <c r="I94" s="467"/>
      <c r="J94" s="467"/>
      <c r="K94" s="467"/>
      <c r="L94" s="467"/>
      <c r="M94" s="467"/>
      <c r="N94" s="386"/>
      <c r="O94" s="188"/>
      <c r="P94" s="169"/>
      <c r="Q94" s="169"/>
    </row>
    <row r="95" spans="1:17" ht="17.100000000000001" customHeight="1">
      <c r="B95" s="169"/>
      <c r="C95" s="169"/>
      <c r="D95" s="169"/>
      <c r="E95" s="169"/>
      <c r="F95" s="382"/>
      <c r="G95" s="382"/>
      <c r="H95" s="383"/>
      <c r="I95" s="525">
        <v>340</v>
      </c>
      <c r="J95" s="525"/>
      <c r="K95" s="163" t="s">
        <v>13</v>
      </c>
      <c r="L95" s="398"/>
      <c r="M95" s="399">
        <v>28253.61</v>
      </c>
      <c r="N95" s="163"/>
      <c r="O95" s="400" t="s">
        <v>275</v>
      </c>
      <c r="P95" s="163"/>
      <c r="Q95" s="401">
        <f>I95*M95/100</f>
        <v>96062.274000000005</v>
      </c>
    </row>
    <row r="97" spans="1:17" ht="17.100000000000001" customHeight="1" thickBot="1">
      <c r="A97" s="220"/>
      <c r="B97" s="169"/>
      <c r="C97" s="169"/>
      <c r="D97" s="169"/>
      <c r="E97" s="169"/>
      <c r="F97" s="169"/>
      <c r="G97" s="169"/>
      <c r="H97" s="169"/>
      <c r="I97" s="402"/>
      <c r="J97" s="402"/>
      <c r="K97" s="163"/>
      <c r="L97" s="398"/>
      <c r="M97" s="403" t="s">
        <v>344</v>
      </c>
      <c r="N97" s="404"/>
      <c r="O97" s="405"/>
      <c r="P97" s="406"/>
      <c r="Q97" s="407">
        <f>SUM(Q85:Q96)</f>
        <v>626612.63939999999</v>
      </c>
    </row>
    <row r="98" spans="1:17" ht="17.100000000000001" customHeight="1" thickTop="1">
      <c r="B98" s="217" t="s">
        <v>349</v>
      </c>
      <c r="C98" s="396"/>
      <c r="D98" s="396"/>
      <c r="E98" s="396"/>
      <c r="F98" s="396"/>
      <c r="G98" s="174"/>
      <c r="H98" s="396"/>
      <c r="I98" s="177"/>
      <c r="J98" s="397"/>
      <c r="K98" s="187"/>
      <c r="L98" s="397"/>
      <c r="M98" s="169"/>
    </row>
    <row r="99" spans="1:17" ht="17.100000000000001" customHeight="1">
      <c r="A99" s="220">
        <v>1</v>
      </c>
      <c r="B99" s="471" t="s">
        <v>358</v>
      </c>
      <c r="C99" s="471"/>
      <c r="D99" s="471"/>
      <c r="E99" s="471"/>
      <c r="F99" s="471"/>
      <c r="G99" s="471"/>
      <c r="H99" s="471"/>
      <c r="I99" s="471"/>
      <c r="J99" s="471"/>
      <c r="K99" s="471"/>
      <c r="L99" s="471"/>
      <c r="M99" s="471"/>
      <c r="N99" s="392"/>
      <c r="O99" s="392"/>
      <c r="P99" s="392"/>
      <c r="Q99" s="209"/>
    </row>
    <row r="100" spans="1:17" ht="17.100000000000001" customHeight="1">
      <c r="A100" s="220"/>
      <c r="B100" s="471"/>
      <c r="C100" s="471"/>
      <c r="D100" s="471"/>
      <c r="E100" s="471"/>
      <c r="F100" s="471"/>
      <c r="G100" s="471"/>
      <c r="H100" s="471"/>
      <c r="I100" s="471"/>
      <c r="J100" s="471"/>
      <c r="K100" s="471"/>
      <c r="L100" s="471"/>
      <c r="M100" s="471"/>
      <c r="N100" s="392"/>
      <c r="O100" s="392"/>
      <c r="P100" s="392"/>
      <c r="Q100" s="209"/>
    </row>
    <row r="101" spans="1:17" ht="17.100000000000001" customHeight="1">
      <c r="A101" s="220"/>
      <c r="B101" s="471"/>
      <c r="C101" s="471"/>
      <c r="D101" s="471"/>
      <c r="E101" s="471"/>
      <c r="F101" s="471"/>
      <c r="G101" s="471"/>
      <c r="H101" s="471"/>
      <c r="I101" s="471"/>
      <c r="J101" s="471"/>
      <c r="K101" s="471"/>
      <c r="L101" s="471"/>
      <c r="M101" s="471"/>
      <c r="N101" s="392"/>
      <c r="O101" s="392"/>
      <c r="P101" s="392"/>
      <c r="Q101" s="209"/>
    </row>
    <row r="102" spans="1:17" ht="17.100000000000001" customHeight="1">
      <c r="A102" s="197"/>
      <c r="B102" s="392"/>
      <c r="C102" s="396"/>
      <c r="D102" s="396"/>
      <c r="E102" s="174"/>
      <c r="F102" s="468"/>
      <c r="G102" s="468"/>
      <c r="H102" s="469"/>
      <c r="I102" s="469"/>
      <c r="J102" s="487"/>
      <c r="K102" s="487"/>
      <c r="L102" s="483"/>
      <c r="M102" s="483"/>
      <c r="N102" s="395"/>
      <c r="O102" s="474"/>
      <c r="P102" s="474"/>
      <c r="Q102" s="209"/>
    </row>
    <row r="103" spans="1:17" ht="17.100000000000001" customHeight="1">
      <c r="A103" s="397"/>
      <c r="B103" s="169"/>
      <c r="C103" s="169"/>
      <c r="D103" s="169"/>
      <c r="E103" s="169"/>
      <c r="F103" s="468"/>
      <c r="G103" s="468"/>
      <c r="H103" s="133"/>
      <c r="I103" s="525">
        <v>5121</v>
      </c>
      <c r="J103" s="525"/>
      <c r="K103" s="163" t="s">
        <v>13</v>
      </c>
      <c r="L103" s="398"/>
      <c r="M103" s="408">
        <v>350</v>
      </c>
      <c r="N103" s="163"/>
      <c r="O103" s="400" t="s">
        <v>276</v>
      </c>
      <c r="P103" s="163"/>
      <c r="Q103" s="401">
        <f>I103*M103</f>
        <v>1792350</v>
      </c>
    </row>
    <row r="105" spans="1:17" ht="17.100000000000001" customHeight="1" thickBot="1">
      <c r="A105" s="220"/>
      <c r="B105" s="169"/>
      <c r="C105" s="169"/>
      <c r="D105" s="169"/>
      <c r="E105" s="169"/>
      <c r="F105" s="169"/>
      <c r="G105" s="169"/>
      <c r="H105" s="169"/>
      <c r="I105" s="402"/>
      <c r="J105" s="402"/>
      <c r="K105" s="163"/>
      <c r="L105" s="398"/>
      <c r="M105" s="403" t="s">
        <v>344</v>
      </c>
      <c r="N105" s="404"/>
      <c r="O105" s="405"/>
      <c r="P105" s="406"/>
      <c r="Q105" s="407">
        <f>SUM(Q100:Q104)</f>
        <v>1792350</v>
      </c>
    </row>
    <row r="106" spans="1:17" ht="17.100000000000001" customHeight="1" thickTop="1">
      <c r="A106" s="220"/>
      <c r="B106" s="169"/>
      <c r="C106" s="169"/>
      <c r="D106" s="169"/>
      <c r="E106" s="169"/>
      <c r="F106" s="169"/>
      <c r="G106" s="169"/>
      <c r="H106" s="169"/>
      <c r="I106" s="402"/>
      <c r="J106" s="402"/>
      <c r="K106" s="163"/>
      <c r="L106" s="398"/>
      <c r="M106" s="403"/>
      <c r="N106" s="404"/>
      <c r="O106" s="405"/>
      <c r="P106" s="404"/>
      <c r="Q106" s="411"/>
    </row>
    <row r="108" spans="1:17" ht="17.100000000000001" customHeight="1">
      <c r="A108" s="220"/>
      <c r="B108" s="169"/>
      <c r="C108" s="169"/>
      <c r="D108" s="169"/>
      <c r="E108" s="169"/>
      <c r="F108" s="169"/>
      <c r="G108" s="169"/>
      <c r="H108" s="169"/>
      <c r="I108" s="418"/>
      <c r="J108" s="418"/>
      <c r="K108" s="163"/>
      <c r="L108" s="398"/>
      <c r="M108" s="403" t="s">
        <v>359</v>
      </c>
      <c r="N108" s="404"/>
      <c r="O108" s="405"/>
      <c r="P108" s="404"/>
      <c r="Q108" s="411">
        <f>Q69</f>
        <v>3708494.6228999998</v>
      </c>
    </row>
    <row r="109" spans="1:17" ht="17.100000000000001" customHeight="1">
      <c r="A109" s="220"/>
      <c r="B109" s="169"/>
      <c r="C109" s="169"/>
      <c r="D109" s="169"/>
      <c r="E109" s="169"/>
      <c r="F109" s="169"/>
      <c r="G109" s="169"/>
      <c r="H109" s="169"/>
      <c r="I109" s="418"/>
      <c r="J109" s="418"/>
      <c r="K109" s="163"/>
      <c r="L109" s="398"/>
      <c r="M109" s="403" t="s">
        <v>360</v>
      </c>
      <c r="N109" s="404"/>
      <c r="O109" s="405"/>
      <c r="P109" s="404"/>
      <c r="Q109" s="411">
        <f>Q81</f>
        <v>840172.02</v>
      </c>
    </row>
    <row r="110" spans="1:17" ht="17.100000000000001" customHeight="1">
      <c r="A110" s="220"/>
      <c r="B110" s="169"/>
      <c r="C110" s="169"/>
      <c r="D110" s="169"/>
      <c r="E110" s="169"/>
      <c r="F110" s="169"/>
      <c r="G110" s="169"/>
      <c r="H110" s="169"/>
      <c r="I110" s="418"/>
      <c r="J110" s="418"/>
      <c r="K110" s="163"/>
      <c r="L110" s="398"/>
      <c r="M110" s="403" t="s">
        <v>361</v>
      </c>
      <c r="N110" s="404"/>
      <c r="O110" s="405"/>
      <c r="P110" s="404"/>
      <c r="Q110" s="411">
        <f>Q97</f>
        <v>626612.63939999999</v>
      </c>
    </row>
    <row r="111" spans="1:17" ht="17.100000000000001" customHeight="1" thickBot="1">
      <c r="A111" s="220"/>
      <c r="B111" s="169"/>
      <c r="C111" s="169"/>
      <c r="D111" s="169"/>
      <c r="E111" s="169"/>
      <c r="F111" s="169"/>
      <c r="G111" s="169"/>
      <c r="H111" s="169"/>
      <c r="I111" s="418"/>
      <c r="J111" s="418"/>
      <c r="K111" s="163"/>
      <c r="L111" s="398"/>
      <c r="M111" s="403" t="s">
        <v>362</v>
      </c>
      <c r="N111" s="404"/>
      <c r="O111" s="405"/>
      <c r="P111" s="531"/>
      <c r="Q111" s="532">
        <f>Q105</f>
        <v>1792350</v>
      </c>
    </row>
    <row r="112" spans="1:17" s="533" customFormat="1" ht="17.100000000000001" customHeight="1" thickTop="1"/>
    <row r="113" spans="13:17" s="533" customFormat="1" ht="17.100000000000001" customHeight="1">
      <c r="M113" s="403" t="s">
        <v>363</v>
      </c>
      <c r="Q113" s="534">
        <f>SUM(Q108:Q112)</f>
        <v>6967629.2822999991</v>
      </c>
    </row>
  </sheetData>
  <mergeCells count="69">
    <mergeCell ref="B1:P1"/>
    <mergeCell ref="B6:H6"/>
    <mergeCell ref="I6:L6"/>
    <mergeCell ref="M6:N6"/>
    <mergeCell ref="O6:P6"/>
    <mergeCell ref="B99:M101"/>
    <mergeCell ref="F102:G102"/>
    <mergeCell ref="H102:I102"/>
    <mergeCell ref="J102:K102"/>
    <mergeCell ref="L102:M102"/>
    <mergeCell ref="O102:P102"/>
    <mergeCell ref="F103:G103"/>
    <mergeCell ref="I103:J103"/>
    <mergeCell ref="B93:M94"/>
    <mergeCell ref="B76:M77"/>
    <mergeCell ref="B59:P59"/>
    <mergeCell ref="I64:J64"/>
    <mergeCell ref="I61:J61"/>
    <mergeCell ref="I67:J67"/>
    <mergeCell ref="B43:M43"/>
    <mergeCell ref="F44:G44"/>
    <mergeCell ref="H44:I44"/>
    <mergeCell ref="J44:K44"/>
    <mergeCell ref="L44:M44"/>
    <mergeCell ref="I42:J42"/>
    <mergeCell ref="F48:G48"/>
    <mergeCell ref="I48:J48"/>
    <mergeCell ref="F45:G45"/>
    <mergeCell ref="I45:J45"/>
    <mergeCell ref="C2:P4"/>
    <mergeCell ref="B21:N21"/>
    <mergeCell ref="B24:M28"/>
    <mergeCell ref="B71:M73"/>
    <mergeCell ref="O44:P44"/>
    <mergeCell ref="B46:M47"/>
    <mergeCell ref="B50:M51"/>
    <mergeCell ref="B54:M56"/>
    <mergeCell ref="B83:M87"/>
    <mergeCell ref="B90:M91"/>
    <mergeCell ref="I89:J89"/>
    <mergeCell ref="I13:J13"/>
    <mergeCell ref="I17:J17"/>
    <mergeCell ref="F20:G20"/>
    <mergeCell ref="I20:J20"/>
    <mergeCell ref="F23:G23"/>
    <mergeCell ref="I23:J23"/>
    <mergeCell ref="I29:J29"/>
    <mergeCell ref="I74:J74"/>
    <mergeCell ref="B14:N15"/>
    <mergeCell ref="B8:M9"/>
    <mergeCell ref="B11:M11"/>
    <mergeCell ref="B18:N18"/>
    <mergeCell ref="I92:J92"/>
    <mergeCell ref="I95:J95"/>
    <mergeCell ref="I52:J52"/>
    <mergeCell ref="I57:J57"/>
    <mergeCell ref="I79:J79"/>
    <mergeCell ref="B62:M62"/>
    <mergeCell ref="B65:M66"/>
    <mergeCell ref="I10:J10"/>
    <mergeCell ref="F33:G33"/>
    <mergeCell ref="I33:J33"/>
    <mergeCell ref="F35:G35"/>
    <mergeCell ref="B34:M34"/>
    <mergeCell ref="B37:M38"/>
    <mergeCell ref="I35:J35"/>
    <mergeCell ref="B31:M32"/>
    <mergeCell ref="B40:P40"/>
    <mergeCell ref="I39:J39"/>
  </mergeCells>
  <pageMargins left="0.45" right="0" top="0.5" bottom="0.25" header="0.3" footer="0.3"/>
  <pageSetup scale="90" orientation="portrait" horizontalDpi="0" verticalDpi="0" r:id="rId1"/>
  <headerFooter>
    <oddHeader>&amp;R&amp;P</oddHeader>
  </headerFooter>
</worksheet>
</file>

<file path=xl/worksheets/sheet2.xml><?xml version="1.0" encoding="utf-8"?>
<worksheet xmlns="http://schemas.openxmlformats.org/spreadsheetml/2006/main" xmlns:r="http://schemas.openxmlformats.org/officeDocument/2006/relationships">
  <dimension ref="A2:K24"/>
  <sheetViews>
    <sheetView workbookViewId="0">
      <selection activeCell="C24" sqref="C24"/>
    </sheetView>
  </sheetViews>
  <sheetFormatPr defaultRowHeight="14.25"/>
  <cols>
    <col min="1" max="1" width="7.140625" style="30" customWidth="1"/>
    <col min="2" max="2" width="46.5703125" style="21" customWidth="1"/>
    <col min="3" max="3" width="14.5703125" style="30" customWidth="1"/>
    <col min="4" max="4" width="13" style="30" customWidth="1"/>
    <col min="5" max="5" width="14" style="30" customWidth="1"/>
    <col min="6" max="6" width="15.42578125" style="30" bestFit="1" customWidth="1"/>
    <col min="7" max="7" width="9.140625" style="30"/>
    <col min="8" max="8" width="12.85546875" style="30" bestFit="1" customWidth="1"/>
    <col min="9" max="11" width="9.140625" style="30"/>
    <col min="12" max="256" width="9.140625" style="21"/>
    <col min="257" max="257" width="7.140625" style="21" customWidth="1"/>
    <col min="258" max="258" width="46.5703125" style="21" customWidth="1"/>
    <col min="259" max="259" width="14.5703125" style="21" customWidth="1"/>
    <col min="260" max="260" width="13" style="21" customWidth="1"/>
    <col min="261" max="261" width="14" style="21" customWidth="1"/>
    <col min="262" max="263" width="9.140625" style="21"/>
    <col min="264" max="264" width="12.85546875" style="21" bestFit="1" customWidth="1"/>
    <col min="265" max="512" width="9.140625" style="21"/>
    <col min="513" max="513" width="7.140625" style="21" customWidth="1"/>
    <col min="514" max="514" width="46.5703125" style="21" customWidth="1"/>
    <col min="515" max="515" width="14.5703125" style="21" customWidth="1"/>
    <col min="516" max="516" width="13" style="21" customWidth="1"/>
    <col min="517" max="517" width="14" style="21" customWidth="1"/>
    <col min="518" max="519" width="9.140625" style="21"/>
    <col min="520" max="520" width="12.85546875" style="21" bestFit="1" customWidth="1"/>
    <col min="521" max="768" width="9.140625" style="21"/>
    <col min="769" max="769" width="7.140625" style="21" customWidth="1"/>
    <col min="770" max="770" width="46.5703125" style="21" customWidth="1"/>
    <col min="771" max="771" width="14.5703125" style="21" customWidth="1"/>
    <col min="772" max="772" width="13" style="21" customWidth="1"/>
    <col min="773" max="773" width="14" style="21" customWidth="1"/>
    <col min="774" max="775" width="9.140625" style="21"/>
    <col min="776" max="776" width="12.85546875" style="21" bestFit="1" customWidth="1"/>
    <col min="777" max="1024" width="9.140625" style="21"/>
    <col min="1025" max="1025" width="7.140625" style="21" customWidth="1"/>
    <col min="1026" max="1026" width="46.5703125" style="21" customWidth="1"/>
    <col min="1027" max="1027" width="14.5703125" style="21" customWidth="1"/>
    <col min="1028" max="1028" width="13" style="21" customWidth="1"/>
    <col min="1029" max="1029" width="14" style="21" customWidth="1"/>
    <col min="1030" max="1031" width="9.140625" style="21"/>
    <col min="1032" max="1032" width="12.85546875" style="21" bestFit="1" customWidth="1"/>
    <col min="1033" max="1280" width="9.140625" style="21"/>
    <col min="1281" max="1281" width="7.140625" style="21" customWidth="1"/>
    <col min="1282" max="1282" width="46.5703125" style="21" customWidth="1"/>
    <col min="1283" max="1283" width="14.5703125" style="21" customWidth="1"/>
    <col min="1284" max="1284" width="13" style="21" customWidth="1"/>
    <col min="1285" max="1285" width="14" style="21" customWidth="1"/>
    <col min="1286" max="1287" width="9.140625" style="21"/>
    <col min="1288" max="1288" width="12.85546875" style="21" bestFit="1" customWidth="1"/>
    <col min="1289" max="1536" width="9.140625" style="21"/>
    <col min="1537" max="1537" width="7.140625" style="21" customWidth="1"/>
    <col min="1538" max="1538" width="46.5703125" style="21" customWidth="1"/>
    <col min="1539" max="1539" width="14.5703125" style="21" customWidth="1"/>
    <col min="1540" max="1540" width="13" style="21" customWidth="1"/>
    <col min="1541" max="1541" width="14" style="21" customWidth="1"/>
    <col min="1542" max="1543" width="9.140625" style="21"/>
    <col min="1544" max="1544" width="12.85546875" style="21" bestFit="1" customWidth="1"/>
    <col min="1545" max="1792" width="9.140625" style="21"/>
    <col min="1793" max="1793" width="7.140625" style="21" customWidth="1"/>
    <col min="1794" max="1794" width="46.5703125" style="21" customWidth="1"/>
    <col min="1795" max="1795" width="14.5703125" style="21" customWidth="1"/>
    <col min="1796" max="1796" width="13" style="21" customWidth="1"/>
    <col min="1797" max="1797" width="14" style="21" customWidth="1"/>
    <col min="1798" max="1799" width="9.140625" style="21"/>
    <col min="1800" max="1800" width="12.85546875" style="21" bestFit="1" customWidth="1"/>
    <col min="1801" max="2048" width="9.140625" style="21"/>
    <col min="2049" max="2049" width="7.140625" style="21" customWidth="1"/>
    <col min="2050" max="2050" width="46.5703125" style="21" customWidth="1"/>
    <col min="2051" max="2051" width="14.5703125" style="21" customWidth="1"/>
    <col min="2052" max="2052" width="13" style="21" customWidth="1"/>
    <col min="2053" max="2053" width="14" style="21" customWidth="1"/>
    <col min="2054" max="2055" width="9.140625" style="21"/>
    <col min="2056" max="2056" width="12.85546875" style="21" bestFit="1" customWidth="1"/>
    <col min="2057" max="2304" width="9.140625" style="21"/>
    <col min="2305" max="2305" width="7.140625" style="21" customWidth="1"/>
    <col min="2306" max="2306" width="46.5703125" style="21" customWidth="1"/>
    <col min="2307" max="2307" width="14.5703125" style="21" customWidth="1"/>
    <col min="2308" max="2308" width="13" style="21" customWidth="1"/>
    <col min="2309" max="2309" width="14" style="21" customWidth="1"/>
    <col min="2310" max="2311" width="9.140625" style="21"/>
    <col min="2312" max="2312" width="12.85546875" style="21" bestFit="1" customWidth="1"/>
    <col min="2313" max="2560" width="9.140625" style="21"/>
    <col min="2561" max="2561" width="7.140625" style="21" customWidth="1"/>
    <col min="2562" max="2562" width="46.5703125" style="21" customWidth="1"/>
    <col min="2563" max="2563" width="14.5703125" style="21" customWidth="1"/>
    <col min="2564" max="2564" width="13" style="21" customWidth="1"/>
    <col min="2565" max="2565" width="14" style="21" customWidth="1"/>
    <col min="2566" max="2567" width="9.140625" style="21"/>
    <col min="2568" max="2568" width="12.85546875" style="21" bestFit="1" customWidth="1"/>
    <col min="2569" max="2816" width="9.140625" style="21"/>
    <col min="2817" max="2817" width="7.140625" style="21" customWidth="1"/>
    <col min="2818" max="2818" width="46.5703125" style="21" customWidth="1"/>
    <col min="2819" max="2819" width="14.5703125" style="21" customWidth="1"/>
    <col min="2820" max="2820" width="13" style="21" customWidth="1"/>
    <col min="2821" max="2821" width="14" style="21" customWidth="1"/>
    <col min="2822" max="2823" width="9.140625" style="21"/>
    <col min="2824" max="2824" width="12.85546875" style="21" bestFit="1" customWidth="1"/>
    <col min="2825" max="3072" width="9.140625" style="21"/>
    <col min="3073" max="3073" width="7.140625" style="21" customWidth="1"/>
    <col min="3074" max="3074" width="46.5703125" style="21" customWidth="1"/>
    <col min="3075" max="3075" width="14.5703125" style="21" customWidth="1"/>
    <col min="3076" max="3076" width="13" style="21" customWidth="1"/>
    <col min="3077" max="3077" width="14" style="21" customWidth="1"/>
    <col min="3078" max="3079" width="9.140625" style="21"/>
    <col min="3080" max="3080" width="12.85546875" style="21" bestFit="1" customWidth="1"/>
    <col min="3081" max="3328" width="9.140625" style="21"/>
    <col min="3329" max="3329" width="7.140625" style="21" customWidth="1"/>
    <col min="3330" max="3330" width="46.5703125" style="21" customWidth="1"/>
    <col min="3331" max="3331" width="14.5703125" style="21" customWidth="1"/>
    <col min="3332" max="3332" width="13" style="21" customWidth="1"/>
    <col min="3333" max="3333" width="14" style="21" customWidth="1"/>
    <col min="3334" max="3335" width="9.140625" style="21"/>
    <col min="3336" max="3336" width="12.85546875" style="21" bestFit="1" customWidth="1"/>
    <col min="3337" max="3584" width="9.140625" style="21"/>
    <col min="3585" max="3585" width="7.140625" style="21" customWidth="1"/>
    <col min="3586" max="3586" width="46.5703125" style="21" customWidth="1"/>
    <col min="3587" max="3587" width="14.5703125" style="21" customWidth="1"/>
    <col min="3588" max="3588" width="13" style="21" customWidth="1"/>
    <col min="3589" max="3589" width="14" style="21" customWidth="1"/>
    <col min="3590" max="3591" width="9.140625" style="21"/>
    <col min="3592" max="3592" width="12.85546875" style="21" bestFit="1" customWidth="1"/>
    <col min="3593" max="3840" width="9.140625" style="21"/>
    <col min="3841" max="3841" width="7.140625" style="21" customWidth="1"/>
    <col min="3842" max="3842" width="46.5703125" style="21" customWidth="1"/>
    <col min="3843" max="3843" width="14.5703125" style="21" customWidth="1"/>
    <col min="3844" max="3844" width="13" style="21" customWidth="1"/>
    <col min="3845" max="3845" width="14" style="21" customWidth="1"/>
    <col min="3846" max="3847" width="9.140625" style="21"/>
    <col min="3848" max="3848" width="12.85546875" style="21" bestFit="1" customWidth="1"/>
    <col min="3849" max="4096" width="9.140625" style="21"/>
    <col min="4097" max="4097" width="7.140625" style="21" customWidth="1"/>
    <col min="4098" max="4098" width="46.5703125" style="21" customWidth="1"/>
    <col min="4099" max="4099" width="14.5703125" style="21" customWidth="1"/>
    <col min="4100" max="4100" width="13" style="21" customWidth="1"/>
    <col min="4101" max="4101" width="14" style="21" customWidth="1"/>
    <col min="4102" max="4103" width="9.140625" style="21"/>
    <col min="4104" max="4104" width="12.85546875" style="21" bestFit="1" customWidth="1"/>
    <col min="4105" max="4352" width="9.140625" style="21"/>
    <col min="4353" max="4353" width="7.140625" style="21" customWidth="1"/>
    <col min="4354" max="4354" width="46.5703125" style="21" customWidth="1"/>
    <col min="4355" max="4355" width="14.5703125" style="21" customWidth="1"/>
    <col min="4356" max="4356" width="13" style="21" customWidth="1"/>
    <col min="4357" max="4357" width="14" style="21" customWidth="1"/>
    <col min="4358" max="4359" width="9.140625" style="21"/>
    <col min="4360" max="4360" width="12.85546875" style="21" bestFit="1" customWidth="1"/>
    <col min="4361" max="4608" width="9.140625" style="21"/>
    <col min="4609" max="4609" width="7.140625" style="21" customWidth="1"/>
    <col min="4610" max="4610" width="46.5703125" style="21" customWidth="1"/>
    <col min="4611" max="4611" width="14.5703125" style="21" customWidth="1"/>
    <col min="4612" max="4612" width="13" style="21" customWidth="1"/>
    <col min="4613" max="4613" width="14" style="21" customWidth="1"/>
    <col min="4614" max="4615" width="9.140625" style="21"/>
    <col min="4616" max="4616" width="12.85546875" style="21" bestFit="1" customWidth="1"/>
    <col min="4617" max="4864" width="9.140625" style="21"/>
    <col min="4865" max="4865" width="7.140625" style="21" customWidth="1"/>
    <col min="4866" max="4866" width="46.5703125" style="21" customWidth="1"/>
    <col min="4867" max="4867" width="14.5703125" style="21" customWidth="1"/>
    <col min="4868" max="4868" width="13" style="21" customWidth="1"/>
    <col min="4869" max="4869" width="14" style="21" customWidth="1"/>
    <col min="4870" max="4871" width="9.140625" style="21"/>
    <col min="4872" max="4872" width="12.85546875" style="21" bestFit="1" customWidth="1"/>
    <col min="4873" max="5120" width="9.140625" style="21"/>
    <col min="5121" max="5121" width="7.140625" style="21" customWidth="1"/>
    <col min="5122" max="5122" width="46.5703125" style="21" customWidth="1"/>
    <col min="5123" max="5123" width="14.5703125" style="21" customWidth="1"/>
    <col min="5124" max="5124" width="13" style="21" customWidth="1"/>
    <col min="5125" max="5125" width="14" style="21" customWidth="1"/>
    <col min="5126" max="5127" width="9.140625" style="21"/>
    <col min="5128" max="5128" width="12.85546875" style="21" bestFit="1" customWidth="1"/>
    <col min="5129" max="5376" width="9.140625" style="21"/>
    <col min="5377" max="5377" width="7.140625" style="21" customWidth="1"/>
    <col min="5378" max="5378" width="46.5703125" style="21" customWidth="1"/>
    <col min="5379" max="5379" width="14.5703125" style="21" customWidth="1"/>
    <col min="5380" max="5380" width="13" style="21" customWidth="1"/>
    <col min="5381" max="5381" width="14" style="21" customWidth="1"/>
    <col min="5382" max="5383" width="9.140625" style="21"/>
    <col min="5384" max="5384" width="12.85546875" style="21" bestFit="1" customWidth="1"/>
    <col min="5385" max="5632" width="9.140625" style="21"/>
    <col min="5633" max="5633" width="7.140625" style="21" customWidth="1"/>
    <col min="5634" max="5634" width="46.5703125" style="21" customWidth="1"/>
    <col min="5635" max="5635" width="14.5703125" style="21" customWidth="1"/>
    <col min="5636" max="5636" width="13" style="21" customWidth="1"/>
    <col min="5637" max="5637" width="14" style="21" customWidth="1"/>
    <col min="5638" max="5639" width="9.140625" style="21"/>
    <col min="5640" max="5640" width="12.85546875" style="21" bestFit="1" customWidth="1"/>
    <col min="5641" max="5888" width="9.140625" style="21"/>
    <col min="5889" max="5889" width="7.140625" style="21" customWidth="1"/>
    <col min="5890" max="5890" width="46.5703125" style="21" customWidth="1"/>
    <col min="5891" max="5891" width="14.5703125" style="21" customWidth="1"/>
    <col min="5892" max="5892" width="13" style="21" customWidth="1"/>
    <col min="5893" max="5893" width="14" style="21" customWidth="1"/>
    <col min="5894" max="5895" width="9.140625" style="21"/>
    <col min="5896" max="5896" width="12.85546875" style="21" bestFit="1" customWidth="1"/>
    <col min="5897" max="6144" width="9.140625" style="21"/>
    <col min="6145" max="6145" width="7.140625" style="21" customWidth="1"/>
    <col min="6146" max="6146" width="46.5703125" style="21" customWidth="1"/>
    <col min="6147" max="6147" width="14.5703125" style="21" customWidth="1"/>
    <col min="6148" max="6148" width="13" style="21" customWidth="1"/>
    <col min="6149" max="6149" width="14" style="21" customWidth="1"/>
    <col min="6150" max="6151" width="9.140625" style="21"/>
    <col min="6152" max="6152" width="12.85546875" style="21" bestFit="1" customWidth="1"/>
    <col min="6153" max="6400" width="9.140625" style="21"/>
    <col min="6401" max="6401" width="7.140625" style="21" customWidth="1"/>
    <col min="6402" max="6402" width="46.5703125" style="21" customWidth="1"/>
    <col min="6403" max="6403" width="14.5703125" style="21" customWidth="1"/>
    <col min="6404" max="6404" width="13" style="21" customWidth="1"/>
    <col min="6405" max="6405" width="14" style="21" customWidth="1"/>
    <col min="6406" max="6407" width="9.140625" style="21"/>
    <col min="6408" max="6408" width="12.85546875" style="21" bestFit="1" customWidth="1"/>
    <col min="6409" max="6656" width="9.140625" style="21"/>
    <col min="6657" max="6657" width="7.140625" style="21" customWidth="1"/>
    <col min="6658" max="6658" width="46.5703125" style="21" customWidth="1"/>
    <col min="6659" max="6659" width="14.5703125" style="21" customWidth="1"/>
    <col min="6660" max="6660" width="13" style="21" customWidth="1"/>
    <col min="6661" max="6661" width="14" style="21" customWidth="1"/>
    <col min="6662" max="6663" width="9.140625" style="21"/>
    <col min="6664" max="6664" width="12.85546875" style="21" bestFit="1" customWidth="1"/>
    <col min="6665" max="6912" width="9.140625" style="21"/>
    <col min="6913" max="6913" width="7.140625" style="21" customWidth="1"/>
    <col min="6914" max="6914" width="46.5703125" style="21" customWidth="1"/>
    <col min="6915" max="6915" width="14.5703125" style="21" customWidth="1"/>
    <col min="6916" max="6916" width="13" style="21" customWidth="1"/>
    <col min="6917" max="6917" width="14" style="21" customWidth="1"/>
    <col min="6918" max="6919" width="9.140625" style="21"/>
    <col min="6920" max="6920" width="12.85546875" style="21" bestFit="1" customWidth="1"/>
    <col min="6921" max="7168" width="9.140625" style="21"/>
    <col min="7169" max="7169" width="7.140625" style="21" customWidth="1"/>
    <col min="7170" max="7170" width="46.5703125" style="21" customWidth="1"/>
    <col min="7171" max="7171" width="14.5703125" style="21" customWidth="1"/>
    <col min="7172" max="7172" width="13" style="21" customWidth="1"/>
    <col min="7173" max="7173" width="14" style="21" customWidth="1"/>
    <col min="7174" max="7175" width="9.140625" style="21"/>
    <col min="7176" max="7176" width="12.85546875" style="21" bestFit="1" customWidth="1"/>
    <col min="7177" max="7424" width="9.140625" style="21"/>
    <col min="7425" max="7425" width="7.140625" style="21" customWidth="1"/>
    <col min="7426" max="7426" width="46.5703125" style="21" customWidth="1"/>
    <col min="7427" max="7427" width="14.5703125" style="21" customWidth="1"/>
    <col min="7428" max="7428" width="13" style="21" customWidth="1"/>
    <col min="7429" max="7429" width="14" style="21" customWidth="1"/>
    <col min="7430" max="7431" width="9.140625" style="21"/>
    <col min="7432" max="7432" width="12.85546875" style="21" bestFit="1" customWidth="1"/>
    <col min="7433" max="7680" width="9.140625" style="21"/>
    <col min="7681" max="7681" width="7.140625" style="21" customWidth="1"/>
    <col min="7682" max="7682" width="46.5703125" style="21" customWidth="1"/>
    <col min="7683" max="7683" width="14.5703125" style="21" customWidth="1"/>
    <col min="7684" max="7684" width="13" style="21" customWidth="1"/>
    <col min="7685" max="7685" width="14" style="21" customWidth="1"/>
    <col min="7686" max="7687" width="9.140625" style="21"/>
    <col min="7688" max="7688" width="12.85546875" style="21" bestFit="1" customWidth="1"/>
    <col min="7689" max="7936" width="9.140625" style="21"/>
    <col min="7937" max="7937" width="7.140625" style="21" customWidth="1"/>
    <col min="7938" max="7938" width="46.5703125" style="21" customWidth="1"/>
    <col min="7939" max="7939" width="14.5703125" style="21" customWidth="1"/>
    <col min="7940" max="7940" width="13" style="21" customWidth="1"/>
    <col min="7941" max="7941" width="14" style="21" customWidth="1"/>
    <col min="7942" max="7943" width="9.140625" style="21"/>
    <col min="7944" max="7944" width="12.85546875" style="21" bestFit="1" customWidth="1"/>
    <col min="7945" max="8192" width="9.140625" style="21"/>
    <col min="8193" max="8193" width="7.140625" style="21" customWidth="1"/>
    <col min="8194" max="8194" width="46.5703125" style="21" customWidth="1"/>
    <col min="8195" max="8195" width="14.5703125" style="21" customWidth="1"/>
    <col min="8196" max="8196" width="13" style="21" customWidth="1"/>
    <col min="8197" max="8197" width="14" style="21" customWidth="1"/>
    <col min="8198" max="8199" width="9.140625" style="21"/>
    <col min="8200" max="8200" width="12.85546875" style="21" bestFit="1" customWidth="1"/>
    <col min="8201" max="8448" width="9.140625" style="21"/>
    <col min="8449" max="8449" width="7.140625" style="21" customWidth="1"/>
    <col min="8450" max="8450" width="46.5703125" style="21" customWidth="1"/>
    <col min="8451" max="8451" width="14.5703125" style="21" customWidth="1"/>
    <col min="8452" max="8452" width="13" style="21" customWidth="1"/>
    <col min="8453" max="8453" width="14" style="21" customWidth="1"/>
    <col min="8454" max="8455" width="9.140625" style="21"/>
    <col min="8456" max="8456" width="12.85546875" style="21" bestFit="1" customWidth="1"/>
    <col min="8457" max="8704" width="9.140625" style="21"/>
    <col min="8705" max="8705" width="7.140625" style="21" customWidth="1"/>
    <col min="8706" max="8706" width="46.5703125" style="21" customWidth="1"/>
    <col min="8707" max="8707" width="14.5703125" style="21" customWidth="1"/>
    <col min="8708" max="8708" width="13" style="21" customWidth="1"/>
    <col min="8709" max="8709" width="14" style="21" customWidth="1"/>
    <col min="8710" max="8711" width="9.140625" style="21"/>
    <col min="8712" max="8712" width="12.85546875" style="21" bestFit="1" customWidth="1"/>
    <col min="8713" max="8960" width="9.140625" style="21"/>
    <col min="8961" max="8961" width="7.140625" style="21" customWidth="1"/>
    <col min="8962" max="8962" width="46.5703125" style="21" customWidth="1"/>
    <col min="8963" max="8963" width="14.5703125" style="21" customWidth="1"/>
    <col min="8964" max="8964" width="13" style="21" customWidth="1"/>
    <col min="8965" max="8965" width="14" style="21" customWidth="1"/>
    <col min="8966" max="8967" width="9.140625" style="21"/>
    <col min="8968" max="8968" width="12.85546875" style="21" bestFit="1" customWidth="1"/>
    <col min="8969" max="9216" width="9.140625" style="21"/>
    <col min="9217" max="9217" width="7.140625" style="21" customWidth="1"/>
    <col min="9218" max="9218" width="46.5703125" style="21" customWidth="1"/>
    <col min="9219" max="9219" width="14.5703125" style="21" customWidth="1"/>
    <col min="9220" max="9220" width="13" style="21" customWidth="1"/>
    <col min="9221" max="9221" width="14" style="21" customWidth="1"/>
    <col min="9222" max="9223" width="9.140625" style="21"/>
    <col min="9224" max="9224" width="12.85546875" style="21" bestFit="1" customWidth="1"/>
    <col min="9225" max="9472" width="9.140625" style="21"/>
    <col min="9473" max="9473" width="7.140625" style="21" customWidth="1"/>
    <col min="9474" max="9474" width="46.5703125" style="21" customWidth="1"/>
    <col min="9475" max="9475" width="14.5703125" style="21" customWidth="1"/>
    <col min="9476" max="9476" width="13" style="21" customWidth="1"/>
    <col min="9477" max="9477" width="14" style="21" customWidth="1"/>
    <col min="9478" max="9479" width="9.140625" style="21"/>
    <col min="9480" max="9480" width="12.85546875" style="21" bestFit="1" customWidth="1"/>
    <col min="9481" max="9728" width="9.140625" style="21"/>
    <col min="9729" max="9729" width="7.140625" style="21" customWidth="1"/>
    <col min="9730" max="9730" width="46.5703125" style="21" customWidth="1"/>
    <col min="9731" max="9731" width="14.5703125" style="21" customWidth="1"/>
    <col min="9732" max="9732" width="13" style="21" customWidth="1"/>
    <col min="9733" max="9733" width="14" style="21" customWidth="1"/>
    <col min="9734" max="9735" width="9.140625" style="21"/>
    <col min="9736" max="9736" width="12.85546875" style="21" bestFit="1" customWidth="1"/>
    <col min="9737" max="9984" width="9.140625" style="21"/>
    <col min="9985" max="9985" width="7.140625" style="21" customWidth="1"/>
    <col min="9986" max="9986" width="46.5703125" style="21" customWidth="1"/>
    <col min="9987" max="9987" width="14.5703125" style="21" customWidth="1"/>
    <col min="9988" max="9988" width="13" style="21" customWidth="1"/>
    <col min="9989" max="9989" width="14" style="21" customWidth="1"/>
    <col min="9990" max="9991" width="9.140625" style="21"/>
    <col min="9992" max="9992" width="12.85546875" style="21" bestFit="1" customWidth="1"/>
    <col min="9993" max="10240" width="9.140625" style="21"/>
    <col min="10241" max="10241" width="7.140625" style="21" customWidth="1"/>
    <col min="10242" max="10242" width="46.5703125" style="21" customWidth="1"/>
    <col min="10243" max="10243" width="14.5703125" style="21" customWidth="1"/>
    <col min="10244" max="10244" width="13" style="21" customWidth="1"/>
    <col min="10245" max="10245" width="14" style="21" customWidth="1"/>
    <col min="10246" max="10247" width="9.140625" style="21"/>
    <col min="10248" max="10248" width="12.85546875" style="21" bestFit="1" customWidth="1"/>
    <col min="10249" max="10496" width="9.140625" style="21"/>
    <col min="10497" max="10497" width="7.140625" style="21" customWidth="1"/>
    <col min="10498" max="10498" width="46.5703125" style="21" customWidth="1"/>
    <col min="10499" max="10499" width="14.5703125" style="21" customWidth="1"/>
    <col min="10500" max="10500" width="13" style="21" customWidth="1"/>
    <col min="10501" max="10501" width="14" style="21" customWidth="1"/>
    <col min="10502" max="10503" width="9.140625" style="21"/>
    <col min="10504" max="10504" width="12.85546875" style="21" bestFit="1" customWidth="1"/>
    <col min="10505" max="10752" width="9.140625" style="21"/>
    <col min="10753" max="10753" width="7.140625" style="21" customWidth="1"/>
    <col min="10754" max="10754" width="46.5703125" style="21" customWidth="1"/>
    <col min="10755" max="10755" width="14.5703125" style="21" customWidth="1"/>
    <col min="10756" max="10756" width="13" style="21" customWidth="1"/>
    <col min="10757" max="10757" width="14" style="21" customWidth="1"/>
    <col min="10758" max="10759" width="9.140625" style="21"/>
    <col min="10760" max="10760" width="12.85546875" style="21" bestFit="1" customWidth="1"/>
    <col min="10761" max="11008" width="9.140625" style="21"/>
    <col min="11009" max="11009" width="7.140625" style="21" customWidth="1"/>
    <col min="11010" max="11010" width="46.5703125" style="21" customWidth="1"/>
    <col min="11011" max="11011" width="14.5703125" style="21" customWidth="1"/>
    <col min="11012" max="11012" width="13" style="21" customWidth="1"/>
    <col min="11013" max="11013" width="14" style="21" customWidth="1"/>
    <col min="11014" max="11015" width="9.140625" style="21"/>
    <col min="11016" max="11016" width="12.85546875" style="21" bestFit="1" customWidth="1"/>
    <col min="11017" max="11264" width="9.140625" style="21"/>
    <col min="11265" max="11265" width="7.140625" style="21" customWidth="1"/>
    <col min="11266" max="11266" width="46.5703125" style="21" customWidth="1"/>
    <col min="11267" max="11267" width="14.5703125" style="21" customWidth="1"/>
    <col min="11268" max="11268" width="13" style="21" customWidth="1"/>
    <col min="11269" max="11269" width="14" style="21" customWidth="1"/>
    <col min="11270" max="11271" width="9.140625" style="21"/>
    <col min="11272" max="11272" width="12.85546875" style="21" bestFit="1" customWidth="1"/>
    <col min="11273" max="11520" width="9.140625" style="21"/>
    <col min="11521" max="11521" width="7.140625" style="21" customWidth="1"/>
    <col min="11522" max="11522" width="46.5703125" style="21" customWidth="1"/>
    <col min="11523" max="11523" width="14.5703125" style="21" customWidth="1"/>
    <col min="11524" max="11524" width="13" style="21" customWidth="1"/>
    <col min="11525" max="11525" width="14" style="21" customWidth="1"/>
    <col min="11526" max="11527" width="9.140625" style="21"/>
    <col min="11528" max="11528" width="12.85546875" style="21" bestFit="1" customWidth="1"/>
    <col min="11529" max="11776" width="9.140625" style="21"/>
    <col min="11777" max="11777" width="7.140625" style="21" customWidth="1"/>
    <col min="11778" max="11778" width="46.5703125" style="21" customWidth="1"/>
    <col min="11779" max="11779" width="14.5703125" style="21" customWidth="1"/>
    <col min="11780" max="11780" width="13" style="21" customWidth="1"/>
    <col min="11781" max="11781" width="14" style="21" customWidth="1"/>
    <col min="11782" max="11783" width="9.140625" style="21"/>
    <col min="11784" max="11784" width="12.85546875" style="21" bestFit="1" customWidth="1"/>
    <col min="11785" max="12032" width="9.140625" style="21"/>
    <col min="12033" max="12033" width="7.140625" style="21" customWidth="1"/>
    <col min="12034" max="12034" width="46.5703125" style="21" customWidth="1"/>
    <col min="12035" max="12035" width="14.5703125" style="21" customWidth="1"/>
    <col min="12036" max="12036" width="13" style="21" customWidth="1"/>
    <col min="12037" max="12037" width="14" style="21" customWidth="1"/>
    <col min="12038" max="12039" width="9.140625" style="21"/>
    <col min="12040" max="12040" width="12.85546875" style="21" bestFit="1" customWidth="1"/>
    <col min="12041" max="12288" width="9.140625" style="21"/>
    <col min="12289" max="12289" width="7.140625" style="21" customWidth="1"/>
    <col min="12290" max="12290" width="46.5703125" style="21" customWidth="1"/>
    <col min="12291" max="12291" width="14.5703125" style="21" customWidth="1"/>
    <col min="12292" max="12292" width="13" style="21" customWidth="1"/>
    <col min="12293" max="12293" width="14" style="21" customWidth="1"/>
    <col min="12294" max="12295" width="9.140625" style="21"/>
    <col min="12296" max="12296" width="12.85546875" style="21" bestFit="1" customWidth="1"/>
    <col min="12297" max="12544" width="9.140625" style="21"/>
    <col min="12545" max="12545" width="7.140625" style="21" customWidth="1"/>
    <col min="12546" max="12546" width="46.5703125" style="21" customWidth="1"/>
    <col min="12547" max="12547" width="14.5703125" style="21" customWidth="1"/>
    <col min="12548" max="12548" width="13" style="21" customWidth="1"/>
    <col min="12549" max="12549" width="14" style="21" customWidth="1"/>
    <col min="12550" max="12551" width="9.140625" style="21"/>
    <col min="12552" max="12552" width="12.85546875" style="21" bestFit="1" customWidth="1"/>
    <col min="12553" max="12800" width="9.140625" style="21"/>
    <col min="12801" max="12801" width="7.140625" style="21" customWidth="1"/>
    <col min="12802" max="12802" width="46.5703125" style="21" customWidth="1"/>
    <col min="12803" max="12803" width="14.5703125" style="21" customWidth="1"/>
    <col min="12804" max="12804" width="13" style="21" customWidth="1"/>
    <col min="12805" max="12805" width="14" style="21" customWidth="1"/>
    <col min="12806" max="12807" width="9.140625" style="21"/>
    <col min="12808" max="12808" width="12.85546875" style="21" bestFit="1" customWidth="1"/>
    <col min="12809" max="13056" width="9.140625" style="21"/>
    <col min="13057" max="13057" width="7.140625" style="21" customWidth="1"/>
    <col min="13058" max="13058" width="46.5703125" style="21" customWidth="1"/>
    <col min="13059" max="13059" width="14.5703125" style="21" customWidth="1"/>
    <col min="13060" max="13060" width="13" style="21" customWidth="1"/>
    <col min="13061" max="13061" width="14" style="21" customWidth="1"/>
    <col min="13062" max="13063" width="9.140625" style="21"/>
    <col min="13064" max="13064" width="12.85546875" style="21" bestFit="1" customWidth="1"/>
    <col min="13065" max="13312" width="9.140625" style="21"/>
    <col min="13313" max="13313" width="7.140625" style="21" customWidth="1"/>
    <col min="13314" max="13314" width="46.5703125" style="21" customWidth="1"/>
    <col min="13315" max="13315" width="14.5703125" style="21" customWidth="1"/>
    <col min="13316" max="13316" width="13" style="21" customWidth="1"/>
    <col min="13317" max="13317" width="14" style="21" customWidth="1"/>
    <col min="13318" max="13319" width="9.140625" style="21"/>
    <col min="13320" max="13320" width="12.85546875" style="21" bestFit="1" customWidth="1"/>
    <col min="13321" max="13568" width="9.140625" style="21"/>
    <col min="13569" max="13569" width="7.140625" style="21" customWidth="1"/>
    <col min="13570" max="13570" width="46.5703125" style="21" customWidth="1"/>
    <col min="13571" max="13571" width="14.5703125" style="21" customWidth="1"/>
    <col min="13572" max="13572" width="13" style="21" customWidth="1"/>
    <col min="13573" max="13573" width="14" style="21" customWidth="1"/>
    <col min="13574" max="13575" width="9.140625" style="21"/>
    <col min="13576" max="13576" width="12.85546875" style="21" bestFit="1" customWidth="1"/>
    <col min="13577" max="13824" width="9.140625" style="21"/>
    <col min="13825" max="13825" width="7.140625" style="21" customWidth="1"/>
    <col min="13826" max="13826" width="46.5703125" style="21" customWidth="1"/>
    <col min="13827" max="13827" width="14.5703125" style="21" customWidth="1"/>
    <col min="13828" max="13828" width="13" style="21" customWidth="1"/>
    <col min="13829" max="13829" width="14" style="21" customWidth="1"/>
    <col min="13830" max="13831" width="9.140625" style="21"/>
    <col min="13832" max="13832" width="12.85546875" style="21" bestFit="1" customWidth="1"/>
    <col min="13833" max="14080" width="9.140625" style="21"/>
    <col min="14081" max="14081" width="7.140625" style="21" customWidth="1"/>
    <col min="14082" max="14082" width="46.5703125" style="21" customWidth="1"/>
    <col min="14083" max="14083" width="14.5703125" style="21" customWidth="1"/>
    <col min="14084" max="14084" width="13" style="21" customWidth="1"/>
    <col min="14085" max="14085" width="14" style="21" customWidth="1"/>
    <col min="14086" max="14087" width="9.140625" style="21"/>
    <col min="14088" max="14088" width="12.85546875" style="21" bestFit="1" customWidth="1"/>
    <col min="14089" max="14336" width="9.140625" style="21"/>
    <col min="14337" max="14337" width="7.140625" style="21" customWidth="1"/>
    <col min="14338" max="14338" width="46.5703125" style="21" customWidth="1"/>
    <col min="14339" max="14339" width="14.5703125" style="21" customWidth="1"/>
    <col min="14340" max="14340" width="13" style="21" customWidth="1"/>
    <col min="14341" max="14341" width="14" style="21" customWidth="1"/>
    <col min="14342" max="14343" width="9.140625" style="21"/>
    <col min="14344" max="14344" width="12.85546875" style="21" bestFit="1" customWidth="1"/>
    <col min="14345" max="14592" width="9.140625" style="21"/>
    <col min="14593" max="14593" width="7.140625" style="21" customWidth="1"/>
    <col min="14594" max="14594" width="46.5703125" style="21" customWidth="1"/>
    <col min="14595" max="14595" width="14.5703125" style="21" customWidth="1"/>
    <col min="14596" max="14596" width="13" style="21" customWidth="1"/>
    <col min="14597" max="14597" width="14" style="21" customWidth="1"/>
    <col min="14598" max="14599" width="9.140625" style="21"/>
    <col min="14600" max="14600" width="12.85546875" style="21" bestFit="1" customWidth="1"/>
    <col min="14601" max="14848" width="9.140625" style="21"/>
    <col min="14849" max="14849" width="7.140625" style="21" customWidth="1"/>
    <col min="14850" max="14850" width="46.5703125" style="21" customWidth="1"/>
    <col min="14851" max="14851" width="14.5703125" style="21" customWidth="1"/>
    <col min="14852" max="14852" width="13" style="21" customWidth="1"/>
    <col min="14853" max="14853" width="14" style="21" customWidth="1"/>
    <col min="14854" max="14855" width="9.140625" style="21"/>
    <col min="14856" max="14856" width="12.85546875" style="21" bestFit="1" customWidth="1"/>
    <col min="14857" max="15104" width="9.140625" style="21"/>
    <col min="15105" max="15105" width="7.140625" style="21" customWidth="1"/>
    <col min="15106" max="15106" width="46.5703125" style="21" customWidth="1"/>
    <col min="15107" max="15107" width="14.5703125" style="21" customWidth="1"/>
    <col min="15108" max="15108" width="13" style="21" customWidth="1"/>
    <col min="15109" max="15109" width="14" style="21" customWidth="1"/>
    <col min="15110" max="15111" width="9.140625" style="21"/>
    <col min="15112" max="15112" width="12.85546875" style="21" bestFit="1" customWidth="1"/>
    <col min="15113" max="15360" width="9.140625" style="21"/>
    <col min="15361" max="15361" width="7.140625" style="21" customWidth="1"/>
    <col min="15362" max="15362" width="46.5703125" style="21" customWidth="1"/>
    <col min="15363" max="15363" width="14.5703125" style="21" customWidth="1"/>
    <col min="15364" max="15364" width="13" style="21" customWidth="1"/>
    <col min="15365" max="15365" width="14" style="21" customWidth="1"/>
    <col min="15366" max="15367" width="9.140625" style="21"/>
    <col min="15368" max="15368" width="12.85546875" style="21" bestFit="1" customWidth="1"/>
    <col min="15369" max="15616" width="9.140625" style="21"/>
    <col min="15617" max="15617" width="7.140625" style="21" customWidth="1"/>
    <col min="15618" max="15618" width="46.5703125" style="21" customWidth="1"/>
    <col min="15619" max="15619" width="14.5703125" style="21" customWidth="1"/>
    <col min="15620" max="15620" width="13" style="21" customWidth="1"/>
    <col min="15621" max="15621" width="14" style="21" customWidth="1"/>
    <col min="15622" max="15623" width="9.140625" style="21"/>
    <col min="15624" max="15624" width="12.85546875" style="21" bestFit="1" customWidth="1"/>
    <col min="15625" max="15872" width="9.140625" style="21"/>
    <col min="15873" max="15873" width="7.140625" style="21" customWidth="1"/>
    <col min="15874" max="15874" width="46.5703125" style="21" customWidth="1"/>
    <col min="15875" max="15875" width="14.5703125" style="21" customWidth="1"/>
    <col min="15876" max="15876" width="13" style="21" customWidth="1"/>
    <col min="15877" max="15877" width="14" style="21" customWidth="1"/>
    <col min="15878" max="15879" width="9.140625" style="21"/>
    <col min="15880" max="15880" width="12.85546875" style="21" bestFit="1" customWidth="1"/>
    <col min="15881" max="16128" width="9.140625" style="21"/>
    <col min="16129" max="16129" width="7.140625" style="21" customWidth="1"/>
    <col min="16130" max="16130" width="46.5703125" style="21" customWidth="1"/>
    <col min="16131" max="16131" width="14.5703125" style="21" customWidth="1"/>
    <col min="16132" max="16132" width="13" style="21" customWidth="1"/>
    <col min="16133" max="16133" width="14" style="21" customWidth="1"/>
    <col min="16134" max="16135" width="9.140625" style="21"/>
    <col min="16136" max="16136" width="12.85546875" style="21" bestFit="1" customWidth="1"/>
    <col min="16137" max="16384" width="9.140625" style="21"/>
  </cols>
  <sheetData>
    <row r="2" spans="1:11" ht="34.5" customHeight="1">
      <c r="A2" s="421" t="e">
        <f>#REF!</f>
        <v>#REF!</v>
      </c>
      <c r="B2" s="421"/>
      <c r="C2" s="421"/>
      <c r="D2" s="421"/>
      <c r="E2" s="421"/>
    </row>
    <row r="3" spans="1:11" s="23" customFormat="1" ht="12.75">
      <c r="A3" s="22"/>
      <c r="B3" s="22"/>
      <c r="C3" s="22"/>
      <c r="D3" s="22"/>
      <c r="E3" s="22"/>
      <c r="F3" s="47"/>
      <c r="G3" s="47"/>
      <c r="H3" s="47"/>
      <c r="I3" s="47"/>
      <c r="J3" s="47"/>
      <c r="K3" s="47"/>
    </row>
    <row r="4" spans="1:11" ht="15.6" customHeight="1">
      <c r="A4" s="422" t="s">
        <v>87</v>
      </c>
      <c r="B4" s="422"/>
      <c r="C4" s="422"/>
      <c r="D4" s="422"/>
      <c r="E4" s="422"/>
      <c r="F4" s="48"/>
    </row>
    <row r="5" spans="1:11" ht="15.75">
      <c r="A5" s="24"/>
      <c r="B5" s="24"/>
      <c r="C5" s="24"/>
      <c r="D5" s="24"/>
      <c r="E5" s="24"/>
      <c r="F5" s="48"/>
    </row>
    <row r="6" spans="1:11" s="27" customFormat="1" ht="30">
      <c r="A6" s="25" t="s">
        <v>29</v>
      </c>
      <c r="B6" s="26" t="s">
        <v>30</v>
      </c>
      <c r="C6" s="26" t="s">
        <v>31</v>
      </c>
      <c r="D6" s="25" t="s">
        <v>32</v>
      </c>
      <c r="E6" s="25" t="s">
        <v>33</v>
      </c>
    </row>
    <row r="7" spans="1:11" s="27" customFormat="1" ht="15">
      <c r="A7" s="25"/>
      <c r="B7" s="25"/>
      <c r="C7" s="25"/>
      <c r="D7" s="25"/>
      <c r="E7" s="25"/>
    </row>
    <row r="8" spans="1:11" ht="15">
      <c r="A8" s="25" t="s">
        <v>28</v>
      </c>
      <c r="B8" s="32" t="s">
        <v>34</v>
      </c>
      <c r="C8" s="33"/>
      <c r="D8" s="33"/>
      <c r="E8" s="33"/>
    </row>
    <row r="9" spans="1:11">
      <c r="A9" s="33">
        <v>1</v>
      </c>
      <c r="B9" s="34" t="s">
        <v>83</v>
      </c>
      <c r="C9" s="119">
        <v>40</v>
      </c>
      <c r="D9" s="120">
        <v>8800</v>
      </c>
      <c r="E9" s="43">
        <f>D9*C9</f>
        <v>352000</v>
      </c>
    </row>
    <row r="10" spans="1:11" ht="15">
      <c r="A10" s="33"/>
      <c r="B10" s="35"/>
      <c r="C10" s="119"/>
      <c r="D10" s="119"/>
      <c r="E10" s="33"/>
    </row>
    <row r="11" spans="1:11">
      <c r="A11" s="33">
        <v>2</v>
      </c>
      <c r="B11" s="34" t="s">
        <v>36</v>
      </c>
      <c r="C11" s="119">
        <v>6</v>
      </c>
      <c r="D11" s="120">
        <v>4500</v>
      </c>
      <c r="E11" s="43">
        <f>D11*C11</f>
        <v>27000</v>
      </c>
    </row>
    <row r="12" spans="1:11" ht="15">
      <c r="A12" s="33"/>
      <c r="B12" s="35"/>
      <c r="C12" s="119"/>
      <c r="D12" s="119"/>
      <c r="E12" s="33"/>
    </row>
    <row r="13" spans="1:11">
      <c r="A13" s="33">
        <v>3</v>
      </c>
      <c r="B13" s="34" t="s">
        <v>37</v>
      </c>
      <c r="C13" s="119">
        <v>2</v>
      </c>
      <c r="D13" s="120">
        <v>12000</v>
      </c>
      <c r="E13" s="43">
        <f>D13*C13</f>
        <v>24000</v>
      </c>
    </row>
    <row r="14" spans="1:11" ht="15">
      <c r="A14" s="33"/>
      <c r="B14" s="35"/>
      <c r="C14" s="119"/>
      <c r="D14" s="119"/>
      <c r="E14" s="33"/>
    </row>
    <row r="15" spans="1:11">
      <c r="A15" s="33">
        <v>4</v>
      </c>
      <c r="B15" s="34" t="s">
        <v>38</v>
      </c>
      <c r="C15" s="119">
        <v>1</v>
      </c>
      <c r="D15" s="120">
        <v>22000</v>
      </c>
      <c r="E15" s="43">
        <f>D15*C15</f>
        <v>22000</v>
      </c>
    </row>
    <row r="16" spans="1:11">
      <c r="A16" s="33"/>
      <c r="B16" s="34"/>
      <c r="C16" s="33"/>
      <c r="D16" s="42"/>
      <c r="E16" s="43"/>
    </row>
    <row r="17" spans="1:6" ht="15">
      <c r="A17" s="33"/>
      <c r="B17" s="35" t="s">
        <v>39</v>
      </c>
      <c r="C17" s="33"/>
      <c r="D17" s="33"/>
      <c r="E17" s="44">
        <f>SUM(E9:E16)</f>
        <v>425000</v>
      </c>
      <c r="F17" s="104"/>
    </row>
    <row r="18" spans="1:6" ht="15">
      <c r="A18" s="33"/>
      <c r="B18" s="35"/>
      <c r="C18" s="33"/>
      <c r="D18" s="33"/>
      <c r="E18" s="33"/>
    </row>
    <row r="19" spans="1:6" ht="15">
      <c r="A19" s="33"/>
      <c r="B19" s="35" t="s">
        <v>86</v>
      </c>
      <c r="C19" s="33"/>
      <c r="D19" s="33"/>
      <c r="E19" s="105">
        <f>+E17/1000000</f>
        <v>0.42499999999999999</v>
      </c>
    </row>
    <row r="20" spans="1:6" ht="15">
      <c r="B20" s="29"/>
    </row>
    <row r="21" spans="1:6" ht="15">
      <c r="B21" s="29"/>
    </row>
    <row r="22" spans="1:6" ht="15.75">
      <c r="B22" s="16" t="s">
        <v>21</v>
      </c>
      <c r="C22" s="16" t="s">
        <v>85</v>
      </c>
      <c r="D22" s="16" t="s">
        <v>22</v>
      </c>
    </row>
    <row r="23" spans="1:6" ht="15.75">
      <c r="B23" s="19">
        <f>E19</f>
        <v>0.42499999999999999</v>
      </c>
      <c r="C23" s="16">
        <v>12</v>
      </c>
      <c r="D23" s="19">
        <f>C23*B23</f>
        <v>5.0999999999999996</v>
      </c>
    </row>
    <row r="24" spans="1:6" ht="15">
      <c r="B24" s="29"/>
    </row>
  </sheetData>
  <mergeCells count="2">
    <mergeCell ref="A2:E2"/>
    <mergeCell ref="A4:E4"/>
  </mergeCells>
  <printOptions horizontalCentered="1"/>
  <pageMargins left="0.25" right="0.25" top="0.5" bottom="0.25" header="0.5" footer="0.5"/>
  <pageSetup scale="85" orientation="portrait" r:id="rId1"/>
  <headerFooter alignWithMargins="0"/>
</worksheet>
</file>

<file path=xl/worksheets/sheet3.xml><?xml version="1.0" encoding="utf-8"?>
<worksheet xmlns="http://schemas.openxmlformats.org/spreadsheetml/2006/main" xmlns:r="http://schemas.openxmlformats.org/officeDocument/2006/relationships">
  <dimension ref="A1:F7"/>
  <sheetViews>
    <sheetView workbookViewId="0">
      <selection activeCell="D28" sqref="D28"/>
    </sheetView>
  </sheetViews>
  <sheetFormatPr defaultColWidth="9.140625" defaultRowHeight="15"/>
  <cols>
    <col min="1" max="1" width="9.140625" style="108"/>
    <col min="2" max="2" width="16.85546875" style="108" customWidth="1"/>
    <col min="3" max="4" width="18.85546875" style="108" customWidth="1"/>
    <col min="5" max="5" width="13" style="108" customWidth="1"/>
    <col min="6" max="6" width="14.140625" style="108" customWidth="1"/>
    <col min="7" max="16384" width="9.140625" style="108"/>
  </cols>
  <sheetData>
    <row r="1" spans="1:6" ht="74.25" customHeight="1">
      <c r="A1" s="423" t="s">
        <v>110</v>
      </c>
      <c r="B1" s="423"/>
      <c r="C1" s="423"/>
      <c r="D1" s="423"/>
      <c r="E1" s="423"/>
      <c r="F1" s="423"/>
    </row>
    <row r="2" spans="1:6" ht="22.5" customHeight="1">
      <c r="A2" s="424" t="s">
        <v>88</v>
      </c>
      <c r="B2" s="424"/>
      <c r="C2" s="424"/>
      <c r="D2" s="424"/>
      <c r="E2" s="424"/>
      <c r="F2" s="424"/>
    </row>
    <row r="3" spans="1:6" ht="15.75" thickBot="1"/>
    <row r="4" spans="1:6" ht="35.1" customHeight="1" thickBot="1">
      <c r="B4" s="109" t="s">
        <v>76</v>
      </c>
      <c r="C4" s="109" t="s">
        <v>89</v>
      </c>
      <c r="D4" s="109" t="s">
        <v>95</v>
      </c>
      <c r="E4" s="109" t="s">
        <v>90</v>
      </c>
      <c r="F4" s="109" t="s">
        <v>91</v>
      </c>
    </row>
    <row r="5" spans="1:6" ht="43.5" customHeight="1">
      <c r="B5" s="110" t="s">
        <v>92</v>
      </c>
      <c r="C5" s="111">
        <f>Escalation!F8</f>
        <v>10</v>
      </c>
      <c r="D5" s="111">
        <v>0</v>
      </c>
      <c r="E5" s="112">
        <v>0</v>
      </c>
      <c r="F5" s="111">
        <f>C5</f>
        <v>10</v>
      </c>
    </row>
    <row r="6" spans="1:6" ht="43.5" customHeight="1" thickBot="1">
      <c r="B6" s="110" t="s">
        <v>93</v>
      </c>
      <c r="C6" s="111">
        <f>+Escalation!F9</f>
        <v>19.960230000000003</v>
      </c>
      <c r="D6" s="111">
        <v>0</v>
      </c>
      <c r="E6" s="111">
        <v>0</v>
      </c>
      <c r="F6" s="111">
        <f>E6+D6+C6</f>
        <v>19.960230000000003</v>
      </c>
    </row>
    <row r="7" spans="1:6" ht="30" customHeight="1" thickBot="1">
      <c r="B7" s="113" t="s">
        <v>94</v>
      </c>
      <c r="C7" s="114">
        <f>SUM(C5:C6)</f>
        <v>29.960230000000003</v>
      </c>
      <c r="D7" s="114">
        <f>SUM(D5:D6)</f>
        <v>0</v>
      </c>
      <c r="E7" s="114">
        <f>SUM(E5:E6)</f>
        <v>0</v>
      </c>
      <c r="F7" s="114">
        <f>SUM(F5:F6)</f>
        <v>29.960230000000003</v>
      </c>
    </row>
  </sheetData>
  <mergeCells count="2">
    <mergeCell ref="A1:F1"/>
    <mergeCell ref="A2:F2"/>
  </mergeCells>
  <pageMargins left="0.74803149606299213" right="0.74803149606299213" top="0.98425196850393704" bottom="0.98425196850393704" header="0.51181102362204722" footer="0.51181102362204722"/>
  <pageSetup scale="8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H18"/>
  <sheetViews>
    <sheetView workbookViewId="0">
      <selection activeCell="C20" sqref="C20"/>
    </sheetView>
  </sheetViews>
  <sheetFormatPr defaultRowHeight="12.75"/>
  <cols>
    <col min="1" max="1" width="7.5703125" style="78" customWidth="1"/>
    <col min="2" max="2" width="16.42578125" style="78" customWidth="1"/>
    <col min="3" max="3" width="16.5703125" style="78" customWidth="1"/>
    <col min="4" max="4" width="15.85546875" style="78" customWidth="1"/>
    <col min="5" max="5" width="13.140625" style="78" customWidth="1"/>
    <col min="6" max="6" width="18" style="78" customWidth="1"/>
    <col min="7" max="8" width="12.7109375" style="78" customWidth="1"/>
    <col min="9" max="256" width="9.140625" style="78"/>
    <col min="257" max="257" width="7.5703125" style="78" customWidth="1"/>
    <col min="258" max="258" width="16.42578125" style="78" customWidth="1"/>
    <col min="259" max="259" width="16.5703125" style="78" customWidth="1"/>
    <col min="260" max="260" width="15.85546875" style="78" customWidth="1"/>
    <col min="261" max="261" width="13.140625" style="78" customWidth="1"/>
    <col min="262" max="262" width="16.42578125" style="78" customWidth="1"/>
    <col min="263" max="263" width="10" style="78" bestFit="1" customWidth="1"/>
    <col min="264" max="512" width="9.140625" style="78"/>
    <col min="513" max="513" width="7.5703125" style="78" customWidth="1"/>
    <col min="514" max="514" width="16.42578125" style="78" customWidth="1"/>
    <col min="515" max="515" width="16.5703125" style="78" customWidth="1"/>
    <col min="516" max="516" width="15.85546875" style="78" customWidth="1"/>
    <col min="517" max="517" width="13.140625" style="78" customWidth="1"/>
    <col min="518" max="518" width="16.42578125" style="78" customWidth="1"/>
    <col min="519" max="519" width="10" style="78" bestFit="1" customWidth="1"/>
    <col min="520" max="768" width="9.140625" style="78"/>
    <col min="769" max="769" width="7.5703125" style="78" customWidth="1"/>
    <col min="770" max="770" width="16.42578125" style="78" customWidth="1"/>
    <col min="771" max="771" width="16.5703125" style="78" customWidth="1"/>
    <col min="772" max="772" width="15.85546875" style="78" customWidth="1"/>
    <col min="773" max="773" width="13.140625" style="78" customWidth="1"/>
    <col min="774" max="774" width="16.42578125" style="78" customWidth="1"/>
    <col min="775" max="775" width="10" style="78" bestFit="1" customWidth="1"/>
    <col min="776" max="1024" width="9.140625" style="78"/>
    <col min="1025" max="1025" width="7.5703125" style="78" customWidth="1"/>
    <col min="1026" max="1026" width="16.42578125" style="78" customWidth="1"/>
    <col min="1027" max="1027" width="16.5703125" style="78" customWidth="1"/>
    <col min="1028" max="1028" width="15.85546875" style="78" customWidth="1"/>
    <col min="1029" max="1029" width="13.140625" style="78" customWidth="1"/>
    <col min="1030" max="1030" width="16.42578125" style="78" customWidth="1"/>
    <col min="1031" max="1031" width="10" style="78" bestFit="1" customWidth="1"/>
    <col min="1032" max="1280" width="9.140625" style="78"/>
    <col min="1281" max="1281" width="7.5703125" style="78" customWidth="1"/>
    <col min="1282" max="1282" width="16.42578125" style="78" customWidth="1"/>
    <col min="1283" max="1283" width="16.5703125" style="78" customWidth="1"/>
    <col min="1284" max="1284" width="15.85546875" style="78" customWidth="1"/>
    <col min="1285" max="1285" width="13.140625" style="78" customWidth="1"/>
    <col min="1286" max="1286" width="16.42578125" style="78" customWidth="1"/>
    <col min="1287" max="1287" width="10" style="78" bestFit="1" customWidth="1"/>
    <col min="1288" max="1536" width="9.140625" style="78"/>
    <col min="1537" max="1537" width="7.5703125" style="78" customWidth="1"/>
    <col min="1538" max="1538" width="16.42578125" style="78" customWidth="1"/>
    <col min="1539" max="1539" width="16.5703125" style="78" customWidth="1"/>
    <col min="1540" max="1540" width="15.85546875" style="78" customWidth="1"/>
    <col min="1541" max="1541" width="13.140625" style="78" customWidth="1"/>
    <col min="1542" max="1542" width="16.42578125" style="78" customWidth="1"/>
    <col min="1543" max="1543" width="10" style="78" bestFit="1" customWidth="1"/>
    <col min="1544" max="1792" width="9.140625" style="78"/>
    <col min="1793" max="1793" width="7.5703125" style="78" customWidth="1"/>
    <col min="1794" max="1794" width="16.42578125" style="78" customWidth="1"/>
    <col min="1795" max="1795" width="16.5703125" style="78" customWidth="1"/>
    <col min="1796" max="1796" width="15.85546875" style="78" customWidth="1"/>
    <col min="1797" max="1797" width="13.140625" style="78" customWidth="1"/>
    <col min="1798" max="1798" width="16.42578125" style="78" customWidth="1"/>
    <col min="1799" max="1799" width="10" style="78" bestFit="1" customWidth="1"/>
    <col min="1800" max="2048" width="9.140625" style="78"/>
    <col min="2049" max="2049" width="7.5703125" style="78" customWidth="1"/>
    <col min="2050" max="2050" width="16.42578125" style="78" customWidth="1"/>
    <col min="2051" max="2051" width="16.5703125" style="78" customWidth="1"/>
    <col min="2052" max="2052" width="15.85546875" style="78" customWidth="1"/>
    <col min="2053" max="2053" width="13.140625" style="78" customWidth="1"/>
    <col min="2054" max="2054" width="16.42578125" style="78" customWidth="1"/>
    <col min="2055" max="2055" width="10" style="78" bestFit="1" customWidth="1"/>
    <col min="2056" max="2304" width="9.140625" style="78"/>
    <col min="2305" max="2305" width="7.5703125" style="78" customWidth="1"/>
    <col min="2306" max="2306" width="16.42578125" style="78" customWidth="1"/>
    <col min="2307" max="2307" width="16.5703125" style="78" customWidth="1"/>
    <col min="2308" max="2308" width="15.85546875" style="78" customWidth="1"/>
    <col min="2309" max="2309" width="13.140625" style="78" customWidth="1"/>
    <col min="2310" max="2310" width="16.42578125" style="78" customWidth="1"/>
    <col min="2311" max="2311" width="10" style="78" bestFit="1" customWidth="1"/>
    <col min="2312" max="2560" width="9.140625" style="78"/>
    <col min="2561" max="2561" width="7.5703125" style="78" customWidth="1"/>
    <col min="2562" max="2562" width="16.42578125" style="78" customWidth="1"/>
    <col min="2563" max="2563" width="16.5703125" style="78" customWidth="1"/>
    <col min="2564" max="2564" width="15.85546875" style="78" customWidth="1"/>
    <col min="2565" max="2565" width="13.140625" style="78" customWidth="1"/>
    <col min="2566" max="2566" width="16.42578125" style="78" customWidth="1"/>
    <col min="2567" max="2567" width="10" style="78" bestFit="1" customWidth="1"/>
    <col min="2568" max="2816" width="9.140625" style="78"/>
    <col min="2817" max="2817" width="7.5703125" style="78" customWidth="1"/>
    <col min="2818" max="2818" width="16.42578125" style="78" customWidth="1"/>
    <col min="2819" max="2819" width="16.5703125" style="78" customWidth="1"/>
    <col min="2820" max="2820" width="15.85546875" style="78" customWidth="1"/>
    <col min="2821" max="2821" width="13.140625" style="78" customWidth="1"/>
    <col min="2822" max="2822" width="16.42578125" style="78" customWidth="1"/>
    <col min="2823" max="2823" width="10" style="78" bestFit="1" customWidth="1"/>
    <col min="2824" max="3072" width="9.140625" style="78"/>
    <col min="3073" max="3073" width="7.5703125" style="78" customWidth="1"/>
    <col min="3074" max="3074" width="16.42578125" style="78" customWidth="1"/>
    <col min="3075" max="3075" width="16.5703125" style="78" customWidth="1"/>
    <col min="3076" max="3076" width="15.85546875" style="78" customWidth="1"/>
    <col min="3077" max="3077" width="13.140625" style="78" customWidth="1"/>
    <col min="3078" max="3078" width="16.42578125" style="78" customWidth="1"/>
    <col min="3079" max="3079" width="10" style="78" bestFit="1" customWidth="1"/>
    <col min="3080" max="3328" width="9.140625" style="78"/>
    <col min="3329" max="3329" width="7.5703125" style="78" customWidth="1"/>
    <col min="3330" max="3330" width="16.42578125" style="78" customWidth="1"/>
    <col min="3331" max="3331" width="16.5703125" style="78" customWidth="1"/>
    <col min="3332" max="3332" width="15.85546875" style="78" customWidth="1"/>
    <col min="3333" max="3333" width="13.140625" style="78" customWidth="1"/>
    <col min="3334" max="3334" width="16.42578125" style="78" customWidth="1"/>
    <col min="3335" max="3335" width="10" style="78" bestFit="1" customWidth="1"/>
    <col min="3336" max="3584" width="9.140625" style="78"/>
    <col min="3585" max="3585" width="7.5703125" style="78" customWidth="1"/>
    <col min="3586" max="3586" width="16.42578125" style="78" customWidth="1"/>
    <col min="3587" max="3587" width="16.5703125" style="78" customWidth="1"/>
    <col min="3588" max="3588" width="15.85546875" style="78" customWidth="1"/>
    <col min="3589" max="3589" width="13.140625" style="78" customWidth="1"/>
    <col min="3590" max="3590" width="16.42578125" style="78" customWidth="1"/>
    <col min="3591" max="3591" width="10" style="78" bestFit="1" customWidth="1"/>
    <col min="3592" max="3840" width="9.140625" style="78"/>
    <col min="3841" max="3841" width="7.5703125" style="78" customWidth="1"/>
    <col min="3842" max="3842" width="16.42578125" style="78" customWidth="1"/>
    <col min="3843" max="3843" width="16.5703125" style="78" customWidth="1"/>
    <col min="3844" max="3844" width="15.85546875" style="78" customWidth="1"/>
    <col min="3845" max="3845" width="13.140625" style="78" customWidth="1"/>
    <col min="3846" max="3846" width="16.42578125" style="78" customWidth="1"/>
    <col min="3847" max="3847" width="10" style="78" bestFit="1" customWidth="1"/>
    <col min="3848" max="4096" width="9.140625" style="78"/>
    <col min="4097" max="4097" width="7.5703125" style="78" customWidth="1"/>
    <col min="4098" max="4098" width="16.42578125" style="78" customWidth="1"/>
    <col min="4099" max="4099" width="16.5703125" style="78" customWidth="1"/>
    <col min="4100" max="4100" width="15.85546875" style="78" customWidth="1"/>
    <col min="4101" max="4101" width="13.140625" style="78" customWidth="1"/>
    <col min="4102" max="4102" width="16.42578125" style="78" customWidth="1"/>
    <col min="4103" max="4103" width="10" style="78" bestFit="1" customWidth="1"/>
    <col min="4104" max="4352" width="9.140625" style="78"/>
    <col min="4353" max="4353" width="7.5703125" style="78" customWidth="1"/>
    <col min="4354" max="4354" width="16.42578125" style="78" customWidth="1"/>
    <col min="4355" max="4355" width="16.5703125" style="78" customWidth="1"/>
    <col min="4356" max="4356" width="15.85546875" style="78" customWidth="1"/>
    <col min="4357" max="4357" width="13.140625" style="78" customWidth="1"/>
    <col min="4358" max="4358" width="16.42578125" style="78" customWidth="1"/>
    <col min="4359" max="4359" width="10" style="78" bestFit="1" customWidth="1"/>
    <col min="4360" max="4608" width="9.140625" style="78"/>
    <col min="4609" max="4609" width="7.5703125" style="78" customWidth="1"/>
    <col min="4610" max="4610" width="16.42578125" style="78" customWidth="1"/>
    <col min="4611" max="4611" width="16.5703125" style="78" customWidth="1"/>
    <col min="4612" max="4612" width="15.85546875" style="78" customWidth="1"/>
    <col min="4613" max="4613" width="13.140625" style="78" customWidth="1"/>
    <col min="4614" max="4614" width="16.42578125" style="78" customWidth="1"/>
    <col min="4615" max="4615" width="10" style="78" bestFit="1" customWidth="1"/>
    <col min="4616" max="4864" width="9.140625" style="78"/>
    <col min="4865" max="4865" width="7.5703125" style="78" customWidth="1"/>
    <col min="4866" max="4866" width="16.42578125" style="78" customWidth="1"/>
    <col min="4867" max="4867" width="16.5703125" style="78" customWidth="1"/>
    <col min="4868" max="4868" width="15.85546875" style="78" customWidth="1"/>
    <col min="4869" max="4869" width="13.140625" style="78" customWidth="1"/>
    <col min="4870" max="4870" width="16.42578125" style="78" customWidth="1"/>
    <col min="4871" max="4871" width="10" style="78" bestFit="1" customWidth="1"/>
    <col min="4872" max="5120" width="9.140625" style="78"/>
    <col min="5121" max="5121" width="7.5703125" style="78" customWidth="1"/>
    <col min="5122" max="5122" width="16.42578125" style="78" customWidth="1"/>
    <col min="5123" max="5123" width="16.5703125" style="78" customWidth="1"/>
    <col min="5124" max="5124" width="15.85546875" style="78" customWidth="1"/>
    <col min="5125" max="5125" width="13.140625" style="78" customWidth="1"/>
    <col min="5126" max="5126" width="16.42578125" style="78" customWidth="1"/>
    <col min="5127" max="5127" width="10" style="78" bestFit="1" customWidth="1"/>
    <col min="5128" max="5376" width="9.140625" style="78"/>
    <col min="5377" max="5377" width="7.5703125" style="78" customWidth="1"/>
    <col min="5378" max="5378" width="16.42578125" style="78" customWidth="1"/>
    <col min="5379" max="5379" width="16.5703125" style="78" customWidth="1"/>
    <col min="5380" max="5380" width="15.85546875" style="78" customWidth="1"/>
    <col min="5381" max="5381" width="13.140625" style="78" customWidth="1"/>
    <col min="5382" max="5382" width="16.42578125" style="78" customWidth="1"/>
    <col min="5383" max="5383" width="10" style="78" bestFit="1" customWidth="1"/>
    <col min="5384" max="5632" width="9.140625" style="78"/>
    <col min="5633" max="5633" width="7.5703125" style="78" customWidth="1"/>
    <col min="5634" max="5634" width="16.42578125" style="78" customWidth="1"/>
    <col min="5635" max="5635" width="16.5703125" style="78" customWidth="1"/>
    <col min="5636" max="5636" width="15.85546875" style="78" customWidth="1"/>
    <col min="5637" max="5637" width="13.140625" style="78" customWidth="1"/>
    <col min="5638" max="5638" width="16.42578125" style="78" customWidth="1"/>
    <col min="5639" max="5639" width="10" style="78" bestFit="1" customWidth="1"/>
    <col min="5640" max="5888" width="9.140625" style="78"/>
    <col min="5889" max="5889" width="7.5703125" style="78" customWidth="1"/>
    <col min="5890" max="5890" width="16.42578125" style="78" customWidth="1"/>
    <col min="5891" max="5891" width="16.5703125" style="78" customWidth="1"/>
    <col min="5892" max="5892" width="15.85546875" style="78" customWidth="1"/>
    <col min="5893" max="5893" width="13.140625" style="78" customWidth="1"/>
    <col min="5894" max="5894" width="16.42578125" style="78" customWidth="1"/>
    <col min="5895" max="5895" width="10" style="78" bestFit="1" customWidth="1"/>
    <col min="5896" max="6144" width="9.140625" style="78"/>
    <col min="6145" max="6145" width="7.5703125" style="78" customWidth="1"/>
    <col min="6146" max="6146" width="16.42578125" style="78" customWidth="1"/>
    <col min="6147" max="6147" width="16.5703125" style="78" customWidth="1"/>
    <col min="6148" max="6148" width="15.85546875" style="78" customWidth="1"/>
    <col min="6149" max="6149" width="13.140625" style="78" customWidth="1"/>
    <col min="6150" max="6150" width="16.42578125" style="78" customWidth="1"/>
    <col min="6151" max="6151" width="10" style="78" bestFit="1" customWidth="1"/>
    <col min="6152" max="6400" width="9.140625" style="78"/>
    <col min="6401" max="6401" width="7.5703125" style="78" customWidth="1"/>
    <col min="6402" max="6402" width="16.42578125" style="78" customWidth="1"/>
    <col min="6403" max="6403" width="16.5703125" style="78" customWidth="1"/>
    <col min="6404" max="6404" width="15.85546875" style="78" customWidth="1"/>
    <col min="6405" max="6405" width="13.140625" style="78" customWidth="1"/>
    <col min="6406" max="6406" width="16.42578125" style="78" customWidth="1"/>
    <col min="6407" max="6407" width="10" style="78" bestFit="1" customWidth="1"/>
    <col min="6408" max="6656" width="9.140625" style="78"/>
    <col min="6657" max="6657" width="7.5703125" style="78" customWidth="1"/>
    <col min="6658" max="6658" width="16.42578125" style="78" customWidth="1"/>
    <col min="6659" max="6659" width="16.5703125" style="78" customWidth="1"/>
    <col min="6660" max="6660" width="15.85546875" style="78" customWidth="1"/>
    <col min="6661" max="6661" width="13.140625" style="78" customWidth="1"/>
    <col min="6662" max="6662" width="16.42578125" style="78" customWidth="1"/>
    <col min="6663" max="6663" width="10" style="78" bestFit="1" customWidth="1"/>
    <col min="6664" max="6912" width="9.140625" style="78"/>
    <col min="6913" max="6913" width="7.5703125" style="78" customWidth="1"/>
    <col min="6914" max="6914" width="16.42578125" style="78" customWidth="1"/>
    <col min="6915" max="6915" width="16.5703125" style="78" customWidth="1"/>
    <col min="6916" max="6916" width="15.85546875" style="78" customWidth="1"/>
    <col min="6917" max="6917" width="13.140625" style="78" customWidth="1"/>
    <col min="6918" max="6918" width="16.42578125" style="78" customWidth="1"/>
    <col min="6919" max="6919" width="10" style="78" bestFit="1" customWidth="1"/>
    <col min="6920" max="7168" width="9.140625" style="78"/>
    <col min="7169" max="7169" width="7.5703125" style="78" customWidth="1"/>
    <col min="7170" max="7170" width="16.42578125" style="78" customWidth="1"/>
    <col min="7171" max="7171" width="16.5703125" style="78" customWidth="1"/>
    <col min="7172" max="7172" width="15.85546875" style="78" customWidth="1"/>
    <col min="7173" max="7173" width="13.140625" style="78" customWidth="1"/>
    <col min="7174" max="7174" width="16.42578125" style="78" customWidth="1"/>
    <col min="7175" max="7175" width="10" style="78" bestFit="1" customWidth="1"/>
    <col min="7176" max="7424" width="9.140625" style="78"/>
    <col min="7425" max="7425" width="7.5703125" style="78" customWidth="1"/>
    <col min="7426" max="7426" width="16.42578125" style="78" customWidth="1"/>
    <col min="7427" max="7427" width="16.5703125" style="78" customWidth="1"/>
    <col min="7428" max="7428" width="15.85546875" style="78" customWidth="1"/>
    <col min="7429" max="7429" width="13.140625" style="78" customWidth="1"/>
    <col min="7430" max="7430" width="16.42578125" style="78" customWidth="1"/>
    <col min="7431" max="7431" width="10" style="78" bestFit="1" customWidth="1"/>
    <col min="7432" max="7680" width="9.140625" style="78"/>
    <col min="7681" max="7681" width="7.5703125" style="78" customWidth="1"/>
    <col min="7682" max="7682" width="16.42578125" style="78" customWidth="1"/>
    <col min="7683" max="7683" width="16.5703125" style="78" customWidth="1"/>
    <col min="7684" max="7684" width="15.85546875" style="78" customWidth="1"/>
    <col min="7685" max="7685" width="13.140625" style="78" customWidth="1"/>
    <col min="7686" max="7686" width="16.42578125" style="78" customWidth="1"/>
    <col min="7687" max="7687" width="10" style="78" bestFit="1" customWidth="1"/>
    <col min="7688" max="7936" width="9.140625" style="78"/>
    <col min="7937" max="7937" width="7.5703125" style="78" customWidth="1"/>
    <col min="7938" max="7938" width="16.42578125" style="78" customWidth="1"/>
    <col min="7939" max="7939" width="16.5703125" style="78" customWidth="1"/>
    <col min="7940" max="7940" width="15.85546875" style="78" customWidth="1"/>
    <col min="7941" max="7941" width="13.140625" style="78" customWidth="1"/>
    <col min="7942" max="7942" width="16.42578125" style="78" customWidth="1"/>
    <col min="7943" max="7943" width="10" style="78" bestFit="1" customWidth="1"/>
    <col min="7944" max="8192" width="9.140625" style="78"/>
    <col min="8193" max="8193" width="7.5703125" style="78" customWidth="1"/>
    <col min="8194" max="8194" width="16.42578125" style="78" customWidth="1"/>
    <col min="8195" max="8195" width="16.5703125" style="78" customWidth="1"/>
    <col min="8196" max="8196" width="15.85546875" style="78" customWidth="1"/>
    <col min="8197" max="8197" width="13.140625" style="78" customWidth="1"/>
    <col min="8198" max="8198" width="16.42578125" style="78" customWidth="1"/>
    <col min="8199" max="8199" width="10" style="78" bestFit="1" customWidth="1"/>
    <col min="8200" max="8448" width="9.140625" style="78"/>
    <col min="8449" max="8449" width="7.5703125" style="78" customWidth="1"/>
    <col min="8450" max="8450" width="16.42578125" style="78" customWidth="1"/>
    <col min="8451" max="8451" width="16.5703125" style="78" customWidth="1"/>
    <col min="8452" max="8452" width="15.85546875" style="78" customWidth="1"/>
    <col min="8453" max="8453" width="13.140625" style="78" customWidth="1"/>
    <col min="8454" max="8454" width="16.42578125" style="78" customWidth="1"/>
    <col min="8455" max="8455" width="10" style="78" bestFit="1" customWidth="1"/>
    <col min="8456" max="8704" width="9.140625" style="78"/>
    <col min="8705" max="8705" width="7.5703125" style="78" customWidth="1"/>
    <col min="8706" max="8706" width="16.42578125" style="78" customWidth="1"/>
    <col min="8707" max="8707" width="16.5703125" style="78" customWidth="1"/>
    <col min="8708" max="8708" width="15.85546875" style="78" customWidth="1"/>
    <col min="8709" max="8709" width="13.140625" style="78" customWidth="1"/>
    <col min="8710" max="8710" width="16.42578125" style="78" customWidth="1"/>
    <col min="8711" max="8711" width="10" style="78" bestFit="1" customWidth="1"/>
    <col min="8712" max="8960" width="9.140625" style="78"/>
    <col min="8961" max="8961" width="7.5703125" style="78" customWidth="1"/>
    <col min="8962" max="8962" width="16.42578125" style="78" customWidth="1"/>
    <col min="8963" max="8963" width="16.5703125" style="78" customWidth="1"/>
    <col min="8964" max="8964" width="15.85546875" style="78" customWidth="1"/>
    <col min="8965" max="8965" width="13.140625" style="78" customWidth="1"/>
    <col min="8966" max="8966" width="16.42578125" style="78" customWidth="1"/>
    <col min="8967" max="8967" width="10" style="78" bestFit="1" customWidth="1"/>
    <col min="8968" max="9216" width="9.140625" style="78"/>
    <col min="9217" max="9217" width="7.5703125" style="78" customWidth="1"/>
    <col min="9218" max="9218" width="16.42578125" style="78" customWidth="1"/>
    <col min="9219" max="9219" width="16.5703125" style="78" customWidth="1"/>
    <col min="9220" max="9220" width="15.85546875" style="78" customWidth="1"/>
    <col min="9221" max="9221" width="13.140625" style="78" customWidth="1"/>
    <col min="9222" max="9222" width="16.42578125" style="78" customWidth="1"/>
    <col min="9223" max="9223" width="10" style="78" bestFit="1" customWidth="1"/>
    <col min="9224" max="9472" width="9.140625" style="78"/>
    <col min="9473" max="9473" width="7.5703125" style="78" customWidth="1"/>
    <col min="9474" max="9474" width="16.42578125" style="78" customWidth="1"/>
    <col min="9475" max="9475" width="16.5703125" style="78" customWidth="1"/>
    <col min="9476" max="9476" width="15.85546875" style="78" customWidth="1"/>
    <col min="9477" max="9477" width="13.140625" style="78" customWidth="1"/>
    <col min="9478" max="9478" width="16.42578125" style="78" customWidth="1"/>
    <col min="9479" max="9479" width="10" style="78" bestFit="1" customWidth="1"/>
    <col min="9480" max="9728" width="9.140625" style="78"/>
    <col min="9729" max="9729" width="7.5703125" style="78" customWidth="1"/>
    <col min="9730" max="9730" width="16.42578125" style="78" customWidth="1"/>
    <col min="9731" max="9731" width="16.5703125" style="78" customWidth="1"/>
    <col min="9732" max="9732" width="15.85546875" style="78" customWidth="1"/>
    <col min="9733" max="9733" width="13.140625" style="78" customWidth="1"/>
    <col min="9734" max="9734" width="16.42578125" style="78" customWidth="1"/>
    <col min="9735" max="9735" width="10" style="78" bestFit="1" customWidth="1"/>
    <col min="9736" max="9984" width="9.140625" style="78"/>
    <col min="9985" max="9985" width="7.5703125" style="78" customWidth="1"/>
    <col min="9986" max="9986" width="16.42578125" style="78" customWidth="1"/>
    <col min="9987" max="9987" width="16.5703125" style="78" customWidth="1"/>
    <col min="9988" max="9988" width="15.85546875" style="78" customWidth="1"/>
    <col min="9989" max="9989" width="13.140625" style="78" customWidth="1"/>
    <col min="9990" max="9990" width="16.42578125" style="78" customWidth="1"/>
    <col min="9991" max="9991" width="10" style="78" bestFit="1" customWidth="1"/>
    <col min="9992" max="10240" width="9.140625" style="78"/>
    <col min="10241" max="10241" width="7.5703125" style="78" customWidth="1"/>
    <col min="10242" max="10242" width="16.42578125" style="78" customWidth="1"/>
    <col min="10243" max="10243" width="16.5703125" style="78" customWidth="1"/>
    <col min="10244" max="10244" width="15.85546875" style="78" customWidth="1"/>
    <col min="10245" max="10245" width="13.140625" style="78" customWidth="1"/>
    <col min="10246" max="10246" width="16.42578125" style="78" customWidth="1"/>
    <col min="10247" max="10247" width="10" style="78" bestFit="1" customWidth="1"/>
    <col min="10248" max="10496" width="9.140625" style="78"/>
    <col min="10497" max="10497" width="7.5703125" style="78" customWidth="1"/>
    <col min="10498" max="10498" width="16.42578125" style="78" customWidth="1"/>
    <col min="10499" max="10499" width="16.5703125" style="78" customWidth="1"/>
    <col min="10500" max="10500" width="15.85546875" style="78" customWidth="1"/>
    <col min="10501" max="10501" width="13.140625" style="78" customWidth="1"/>
    <col min="10502" max="10502" width="16.42578125" style="78" customWidth="1"/>
    <col min="10503" max="10503" width="10" style="78" bestFit="1" customWidth="1"/>
    <col min="10504" max="10752" width="9.140625" style="78"/>
    <col min="10753" max="10753" width="7.5703125" style="78" customWidth="1"/>
    <col min="10754" max="10754" width="16.42578125" style="78" customWidth="1"/>
    <col min="10755" max="10755" width="16.5703125" style="78" customWidth="1"/>
    <col min="10756" max="10756" width="15.85546875" style="78" customWidth="1"/>
    <col min="10757" max="10757" width="13.140625" style="78" customWidth="1"/>
    <col min="10758" max="10758" width="16.42578125" style="78" customWidth="1"/>
    <col min="10759" max="10759" width="10" style="78" bestFit="1" customWidth="1"/>
    <col min="10760" max="11008" width="9.140625" style="78"/>
    <col min="11009" max="11009" width="7.5703125" style="78" customWidth="1"/>
    <col min="11010" max="11010" width="16.42578125" style="78" customWidth="1"/>
    <col min="11011" max="11011" width="16.5703125" style="78" customWidth="1"/>
    <col min="11012" max="11012" width="15.85546875" style="78" customWidth="1"/>
    <col min="11013" max="11013" width="13.140625" style="78" customWidth="1"/>
    <col min="11014" max="11014" width="16.42578125" style="78" customWidth="1"/>
    <col min="11015" max="11015" width="10" style="78" bestFit="1" customWidth="1"/>
    <col min="11016" max="11264" width="9.140625" style="78"/>
    <col min="11265" max="11265" width="7.5703125" style="78" customWidth="1"/>
    <col min="11266" max="11266" width="16.42578125" style="78" customWidth="1"/>
    <col min="11267" max="11267" width="16.5703125" style="78" customWidth="1"/>
    <col min="11268" max="11268" width="15.85546875" style="78" customWidth="1"/>
    <col min="11269" max="11269" width="13.140625" style="78" customWidth="1"/>
    <col min="11270" max="11270" width="16.42578125" style="78" customWidth="1"/>
    <col min="11271" max="11271" width="10" style="78" bestFit="1" customWidth="1"/>
    <col min="11272" max="11520" width="9.140625" style="78"/>
    <col min="11521" max="11521" width="7.5703125" style="78" customWidth="1"/>
    <col min="11522" max="11522" width="16.42578125" style="78" customWidth="1"/>
    <col min="11523" max="11523" width="16.5703125" style="78" customWidth="1"/>
    <col min="11524" max="11524" width="15.85546875" style="78" customWidth="1"/>
    <col min="11525" max="11525" width="13.140625" style="78" customWidth="1"/>
    <col min="11526" max="11526" width="16.42578125" style="78" customWidth="1"/>
    <col min="11527" max="11527" width="10" style="78" bestFit="1" customWidth="1"/>
    <col min="11528" max="11776" width="9.140625" style="78"/>
    <col min="11777" max="11777" width="7.5703125" style="78" customWidth="1"/>
    <col min="11778" max="11778" width="16.42578125" style="78" customWidth="1"/>
    <col min="11779" max="11779" width="16.5703125" style="78" customWidth="1"/>
    <col min="11780" max="11780" width="15.85546875" style="78" customWidth="1"/>
    <col min="11781" max="11781" width="13.140625" style="78" customWidth="1"/>
    <col min="11782" max="11782" width="16.42578125" style="78" customWidth="1"/>
    <col min="11783" max="11783" width="10" style="78" bestFit="1" customWidth="1"/>
    <col min="11784" max="12032" width="9.140625" style="78"/>
    <col min="12033" max="12033" width="7.5703125" style="78" customWidth="1"/>
    <col min="12034" max="12034" width="16.42578125" style="78" customWidth="1"/>
    <col min="12035" max="12035" width="16.5703125" style="78" customWidth="1"/>
    <col min="12036" max="12036" width="15.85546875" style="78" customWidth="1"/>
    <col min="12037" max="12037" width="13.140625" style="78" customWidth="1"/>
    <col min="12038" max="12038" width="16.42578125" style="78" customWidth="1"/>
    <col min="12039" max="12039" width="10" style="78" bestFit="1" customWidth="1"/>
    <col min="12040" max="12288" width="9.140625" style="78"/>
    <col min="12289" max="12289" width="7.5703125" style="78" customWidth="1"/>
    <col min="12290" max="12290" width="16.42578125" style="78" customWidth="1"/>
    <col min="12291" max="12291" width="16.5703125" style="78" customWidth="1"/>
    <col min="12292" max="12292" width="15.85546875" style="78" customWidth="1"/>
    <col min="12293" max="12293" width="13.140625" style="78" customWidth="1"/>
    <col min="12294" max="12294" width="16.42578125" style="78" customWidth="1"/>
    <col min="12295" max="12295" width="10" style="78" bestFit="1" customWidth="1"/>
    <col min="12296" max="12544" width="9.140625" style="78"/>
    <col min="12545" max="12545" width="7.5703125" style="78" customWidth="1"/>
    <col min="12546" max="12546" width="16.42578125" style="78" customWidth="1"/>
    <col min="12547" max="12547" width="16.5703125" style="78" customWidth="1"/>
    <col min="12548" max="12548" width="15.85546875" style="78" customWidth="1"/>
    <col min="12549" max="12549" width="13.140625" style="78" customWidth="1"/>
    <col min="12550" max="12550" width="16.42578125" style="78" customWidth="1"/>
    <col min="12551" max="12551" width="10" style="78" bestFit="1" customWidth="1"/>
    <col min="12552" max="12800" width="9.140625" style="78"/>
    <col min="12801" max="12801" width="7.5703125" style="78" customWidth="1"/>
    <col min="12802" max="12802" width="16.42578125" style="78" customWidth="1"/>
    <col min="12803" max="12803" width="16.5703125" style="78" customWidth="1"/>
    <col min="12804" max="12804" width="15.85546875" style="78" customWidth="1"/>
    <col min="12805" max="12805" width="13.140625" style="78" customWidth="1"/>
    <col min="12806" max="12806" width="16.42578125" style="78" customWidth="1"/>
    <col min="12807" max="12807" width="10" style="78" bestFit="1" customWidth="1"/>
    <col min="12808" max="13056" width="9.140625" style="78"/>
    <col min="13057" max="13057" width="7.5703125" style="78" customWidth="1"/>
    <col min="13058" max="13058" width="16.42578125" style="78" customWidth="1"/>
    <col min="13059" max="13059" width="16.5703125" style="78" customWidth="1"/>
    <col min="13060" max="13060" width="15.85546875" style="78" customWidth="1"/>
    <col min="13061" max="13061" width="13.140625" style="78" customWidth="1"/>
    <col min="13062" max="13062" width="16.42578125" style="78" customWidth="1"/>
    <col min="13063" max="13063" width="10" style="78" bestFit="1" customWidth="1"/>
    <col min="13064" max="13312" width="9.140625" style="78"/>
    <col min="13313" max="13313" width="7.5703125" style="78" customWidth="1"/>
    <col min="13314" max="13314" width="16.42578125" style="78" customWidth="1"/>
    <col min="13315" max="13315" width="16.5703125" style="78" customWidth="1"/>
    <col min="13316" max="13316" width="15.85546875" style="78" customWidth="1"/>
    <col min="13317" max="13317" width="13.140625" style="78" customWidth="1"/>
    <col min="13318" max="13318" width="16.42578125" style="78" customWidth="1"/>
    <col min="13319" max="13319" width="10" style="78" bestFit="1" customWidth="1"/>
    <col min="13320" max="13568" width="9.140625" style="78"/>
    <col min="13569" max="13569" width="7.5703125" style="78" customWidth="1"/>
    <col min="13570" max="13570" width="16.42578125" style="78" customWidth="1"/>
    <col min="13571" max="13571" width="16.5703125" style="78" customWidth="1"/>
    <col min="13572" max="13572" width="15.85546875" style="78" customWidth="1"/>
    <col min="13573" max="13573" width="13.140625" style="78" customWidth="1"/>
    <col min="13574" max="13574" width="16.42578125" style="78" customWidth="1"/>
    <col min="13575" max="13575" width="10" style="78" bestFit="1" customWidth="1"/>
    <col min="13576" max="13824" width="9.140625" style="78"/>
    <col min="13825" max="13825" width="7.5703125" style="78" customWidth="1"/>
    <col min="13826" max="13826" width="16.42578125" style="78" customWidth="1"/>
    <col min="13827" max="13827" width="16.5703125" style="78" customWidth="1"/>
    <col min="13828" max="13828" width="15.85546875" style="78" customWidth="1"/>
    <col min="13829" max="13829" width="13.140625" style="78" customWidth="1"/>
    <col min="13830" max="13830" width="16.42578125" style="78" customWidth="1"/>
    <col min="13831" max="13831" width="10" style="78" bestFit="1" customWidth="1"/>
    <col min="13832" max="14080" width="9.140625" style="78"/>
    <col min="14081" max="14081" width="7.5703125" style="78" customWidth="1"/>
    <col min="14082" max="14082" width="16.42578125" style="78" customWidth="1"/>
    <col min="14083" max="14083" width="16.5703125" style="78" customWidth="1"/>
    <col min="14084" max="14084" width="15.85546875" style="78" customWidth="1"/>
    <col min="14085" max="14085" width="13.140625" style="78" customWidth="1"/>
    <col min="14086" max="14086" width="16.42578125" style="78" customWidth="1"/>
    <col min="14087" max="14087" width="10" style="78" bestFit="1" customWidth="1"/>
    <col min="14088" max="14336" width="9.140625" style="78"/>
    <col min="14337" max="14337" width="7.5703125" style="78" customWidth="1"/>
    <col min="14338" max="14338" width="16.42578125" style="78" customWidth="1"/>
    <col min="14339" max="14339" width="16.5703125" style="78" customWidth="1"/>
    <col min="14340" max="14340" width="15.85546875" style="78" customWidth="1"/>
    <col min="14341" max="14341" width="13.140625" style="78" customWidth="1"/>
    <col min="14342" max="14342" width="16.42578125" style="78" customWidth="1"/>
    <col min="14343" max="14343" width="10" style="78" bestFit="1" customWidth="1"/>
    <col min="14344" max="14592" width="9.140625" style="78"/>
    <col min="14593" max="14593" width="7.5703125" style="78" customWidth="1"/>
    <col min="14594" max="14594" width="16.42578125" style="78" customWidth="1"/>
    <col min="14595" max="14595" width="16.5703125" style="78" customWidth="1"/>
    <col min="14596" max="14596" width="15.85546875" style="78" customWidth="1"/>
    <col min="14597" max="14597" width="13.140625" style="78" customWidth="1"/>
    <col min="14598" max="14598" width="16.42578125" style="78" customWidth="1"/>
    <col min="14599" max="14599" width="10" style="78" bestFit="1" customWidth="1"/>
    <col min="14600" max="14848" width="9.140625" style="78"/>
    <col min="14849" max="14849" width="7.5703125" style="78" customWidth="1"/>
    <col min="14850" max="14850" width="16.42578125" style="78" customWidth="1"/>
    <col min="14851" max="14851" width="16.5703125" style="78" customWidth="1"/>
    <col min="14852" max="14852" width="15.85546875" style="78" customWidth="1"/>
    <col min="14853" max="14853" width="13.140625" style="78" customWidth="1"/>
    <col min="14854" max="14854" width="16.42578125" style="78" customWidth="1"/>
    <col min="14855" max="14855" width="10" style="78" bestFit="1" customWidth="1"/>
    <col min="14856" max="15104" width="9.140625" style="78"/>
    <col min="15105" max="15105" width="7.5703125" style="78" customWidth="1"/>
    <col min="15106" max="15106" width="16.42578125" style="78" customWidth="1"/>
    <col min="15107" max="15107" width="16.5703125" style="78" customWidth="1"/>
    <col min="15108" max="15108" width="15.85546875" style="78" customWidth="1"/>
    <col min="15109" max="15109" width="13.140625" style="78" customWidth="1"/>
    <col min="15110" max="15110" width="16.42578125" style="78" customWidth="1"/>
    <col min="15111" max="15111" width="10" style="78" bestFit="1" customWidth="1"/>
    <col min="15112" max="15360" width="9.140625" style="78"/>
    <col min="15361" max="15361" width="7.5703125" style="78" customWidth="1"/>
    <col min="15362" max="15362" width="16.42578125" style="78" customWidth="1"/>
    <col min="15363" max="15363" width="16.5703125" style="78" customWidth="1"/>
    <col min="15364" max="15364" width="15.85546875" style="78" customWidth="1"/>
    <col min="15365" max="15365" width="13.140625" style="78" customWidth="1"/>
    <col min="15366" max="15366" width="16.42578125" style="78" customWidth="1"/>
    <col min="15367" max="15367" width="10" style="78" bestFit="1" customWidth="1"/>
    <col min="15368" max="15616" width="9.140625" style="78"/>
    <col min="15617" max="15617" width="7.5703125" style="78" customWidth="1"/>
    <col min="15618" max="15618" width="16.42578125" style="78" customWidth="1"/>
    <col min="15619" max="15619" width="16.5703125" style="78" customWidth="1"/>
    <col min="15620" max="15620" width="15.85546875" style="78" customWidth="1"/>
    <col min="15621" max="15621" width="13.140625" style="78" customWidth="1"/>
    <col min="15622" max="15622" width="16.42578125" style="78" customWidth="1"/>
    <col min="15623" max="15623" width="10" style="78" bestFit="1" customWidth="1"/>
    <col min="15624" max="15872" width="9.140625" style="78"/>
    <col min="15873" max="15873" width="7.5703125" style="78" customWidth="1"/>
    <col min="15874" max="15874" width="16.42578125" style="78" customWidth="1"/>
    <col min="15875" max="15875" width="16.5703125" style="78" customWidth="1"/>
    <col min="15876" max="15876" width="15.85546875" style="78" customWidth="1"/>
    <col min="15877" max="15877" width="13.140625" style="78" customWidth="1"/>
    <col min="15878" max="15878" width="16.42578125" style="78" customWidth="1"/>
    <col min="15879" max="15879" width="10" style="78" bestFit="1" customWidth="1"/>
    <col min="15880" max="16128" width="9.140625" style="78"/>
    <col min="16129" max="16129" width="7.5703125" style="78" customWidth="1"/>
    <col min="16130" max="16130" width="16.42578125" style="78" customWidth="1"/>
    <col min="16131" max="16131" width="16.5703125" style="78" customWidth="1"/>
    <col min="16132" max="16132" width="15.85546875" style="78" customWidth="1"/>
    <col min="16133" max="16133" width="13.140625" style="78" customWidth="1"/>
    <col min="16134" max="16134" width="16.42578125" style="78" customWidth="1"/>
    <col min="16135" max="16135" width="10" style="78" bestFit="1" customWidth="1"/>
    <col min="16136" max="16384" width="9.140625" style="78"/>
  </cols>
  <sheetData>
    <row r="1" spans="1:8">
      <c r="C1" s="94"/>
    </row>
    <row r="2" spans="1:8" ht="26.25" customHeight="1">
      <c r="A2" s="425" t="s">
        <v>74</v>
      </c>
      <c r="B2" s="425"/>
      <c r="C2" s="425"/>
      <c r="D2" s="425"/>
      <c r="E2" s="425"/>
      <c r="F2" s="425"/>
      <c r="G2" s="77"/>
    </row>
    <row r="3" spans="1:8" ht="26.25" customHeight="1">
      <c r="A3" s="117"/>
      <c r="B3" s="117"/>
      <c r="C3" s="117"/>
      <c r="D3" s="117"/>
      <c r="E3" s="117"/>
      <c r="F3" s="117"/>
      <c r="G3" s="77"/>
    </row>
    <row r="4" spans="1:8" ht="39" customHeight="1">
      <c r="A4" s="426" t="s">
        <v>110</v>
      </c>
      <c r="B4" s="426"/>
      <c r="C4" s="426"/>
      <c r="D4" s="426"/>
      <c r="E4" s="426"/>
      <c r="F4" s="426"/>
    </row>
    <row r="5" spans="1:8" ht="18.75" thickBot="1">
      <c r="C5" s="95"/>
      <c r="G5" s="77"/>
    </row>
    <row r="6" spans="1:8" ht="14.25" customHeight="1">
      <c r="A6" s="96" t="s">
        <v>75</v>
      </c>
      <c r="B6" s="96" t="s">
        <v>76</v>
      </c>
      <c r="C6" s="96" t="s">
        <v>77</v>
      </c>
      <c r="D6" s="96" t="s">
        <v>78</v>
      </c>
      <c r="E6" s="427" t="s">
        <v>74</v>
      </c>
      <c r="F6" s="97" t="s">
        <v>79</v>
      </c>
    </row>
    <row r="7" spans="1:8" ht="13.5" thickBot="1">
      <c r="A7" s="98" t="s">
        <v>80</v>
      </c>
      <c r="B7" s="98"/>
      <c r="C7" s="98"/>
      <c r="D7" s="98"/>
      <c r="E7" s="428"/>
      <c r="F7" s="86" t="s">
        <v>81</v>
      </c>
    </row>
    <row r="8" spans="1:8" ht="37.5" customHeight="1" thickBot="1">
      <c r="A8" s="82">
        <v>1</v>
      </c>
      <c r="B8" s="83" t="s">
        <v>92</v>
      </c>
      <c r="C8" s="84">
        <v>10</v>
      </c>
      <c r="D8" s="83" t="s">
        <v>82</v>
      </c>
      <c r="E8" s="83" t="s">
        <v>82</v>
      </c>
      <c r="F8" s="84">
        <f>C8</f>
        <v>10</v>
      </c>
    </row>
    <row r="9" spans="1:8" ht="33.75" customHeight="1" thickBot="1">
      <c r="A9" s="82">
        <v>2</v>
      </c>
      <c r="B9" s="83" t="s">
        <v>93</v>
      </c>
      <c r="C9" s="84">
        <f>G.Abs!C19-C8</f>
        <v>18.742000000000004</v>
      </c>
      <c r="D9" s="85">
        <v>6.5000000000000002E-2</v>
      </c>
      <c r="E9" s="84">
        <f>C9/100*6.5</f>
        <v>1.2182300000000001</v>
      </c>
      <c r="F9" s="84">
        <f>E9+C9</f>
        <v>19.960230000000003</v>
      </c>
      <c r="G9" s="77"/>
      <c r="H9" s="77"/>
    </row>
    <row r="10" spans="1:8" ht="29.25" customHeight="1" thickBot="1">
      <c r="A10" s="82"/>
      <c r="B10" s="86" t="s">
        <v>35</v>
      </c>
      <c r="C10" s="87">
        <f>SUM(C8:C9)</f>
        <v>28.742000000000004</v>
      </c>
      <c r="D10" s="86"/>
      <c r="E10" s="87">
        <f>SUM(E8:E9)</f>
        <v>1.2182300000000001</v>
      </c>
      <c r="F10" s="87">
        <f>SUM(F8:F9)</f>
        <v>29.960230000000003</v>
      </c>
      <c r="G10" s="77"/>
    </row>
    <row r="11" spans="1:8">
      <c r="G11" s="77"/>
    </row>
    <row r="12" spans="1:8">
      <c r="C12" s="88"/>
      <c r="G12" s="77"/>
    </row>
    <row r="14" spans="1:8">
      <c r="C14" s="77"/>
      <c r="F14" s="124"/>
    </row>
    <row r="15" spans="1:8">
      <c r="C15" s="99"/>
    </row>
    <row r="16" spans="1:8">
      <c r="C16" s="77"/>
    </row>
    <row r="17" spans="3:3">
      <c r="C17" s="77"/>
    </row>
    <row r="18" spans="3:3">
      <c r="C18" s="77"/>
    </row>
  </sheetData>
  <mergeCells count="3">
    <mergeCell ref="A2:F2"/>
    <mergeCell ref="A4:F4"/>
    <mergeCell ref="E6:E7"/>
  </mergeCells>
  <printOptions horizontalCentered="1"/>
  <pageMargins left="0.25" right="0.2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dimension ref="A1:D27"/>
  <sheetViews>
    <sheetView topLeftCell="A10" workbookViewId="0">
      <selection activeCell="A6" sqref="A6:B18"/>
    </sheetView>
  </sheetViews>
  <sheetFormatPr defaultRowHeight="12.75"/>
  <cols>
    <col min="1" max="1" width="10.140625" customWidth="1"/>
    <col min="2" max="2" width="43.5703125" customWidth="1"/>
    <col min="3" max="3" width="27.42578125" customWidth="1"/>
    <col min="4" max="4" width="11.5703125" bestFit="1" customWidth="1"/>
    <col min="255" max="255" width="10.140625" customWidth="1"/>
    <col min="256" max="256" width="41.42578125" customWidth="1"/>
    <col min="257" max="257" width="25.140625" customWidth="1"/>
    <col min="258" max="258" width="15.85546875" customWidth="1"/>
    <col min="259" max="259" width="12.5703125" bestFit="1" customWidth="1"/>
    <col min="260" max="260" width="11.5703125" bestFit="1" customWidth="1"/>
    <col min="511" max="511" width="10.140625" customWidth="1"/>
    <col min="512" max="512" width="41.42578125" customWidth="1"/>
    <col min="513" max="513" width="25.140625" customWidth="1"/>
    <col min="514" max="514" width="15.85546875" customWidth="1"/>
    <col min="515" max="515" width="12.5703125" bestFit="1" customWidth="1"/>
    <col min="516" max="516" width="11.5703125" bestFit="1" customWidth="1"/>
    <col min="767" max="767" width="10.140625" customWidth="1"/>
    <col min="768" max="768" width="41.42578125" customWidth="1"/>
    <col min="769" max="769" width="25.140625" customWidth="1"/>
    <col min="770" max="770" width="15.85546875" customWidth="1"/>
    <col min="771" max="771" width="12.5703125" bestFit="1" customWidth="1"/>
    <col min="772" max="772" width="11.5703125" bestFit="1" customWidth="1"/>
    <col min="1023" max="1023" width="10.140625" customWidth="1"/>
    <col min="1024" max="1024" width="41.42578125" customWidth="1"/>
    <col min="1025" max="1025" width="25.140625" customWidth="1"/>
    <col min="1026" max="1026" width="15.85546875" customWidth="1"/>
    <col min="1027" max="1027" width="12.5703125" bestFit="1" customWidth="1"/>
    <col min="1028" max="1028" width="11.5703125" bestFit="1" customWidth="1"/>
    <col min="1279" max="1279" width="10.140625" customWidth="1"/>
    <col min="1280" max="1280" width="41.42578125" customWidth="1"/>
    <col min="1281" max="1281" width="25.140625" customWidth="1"/>
    <col min="1282" max="1282" width="15.85546875" customWidth="1"/>
    <col min="1283" max="1283" width="12.5703125" bestFit="1" customWidth="1"/>
    <col min="1284" max="1284" width="11.5703125" bestFit="1" customWidth="1"/>
    <col min="1535" max="1535" width="10.140625" customWidth="1"/>
    <col min="1536" max="1536" width="41.42578125" customWidth="1"/>
    <col min="1537" max="1537" width="25.140625" customWidth="1"/>
    <col min="1538" max="1538" width="15.85546875" customWidth="1"/>
    <col min="1539" max="1539" width="12.5703125" bestFit="1" customWidth="1"/>
    <col min="1540" max="1540" width="11.5703125" bestFit="1" customWidth="1"/>
    <col min="1791" max="1791" width="10.140625" customWidth="1"/>
    <col min="1792" max="1792" width="41.42578125" customWidth="1"/>
    <col min="1793" max="1793" width="25.140625" customWidth="1"/>
    <col min="1794" max="1794" width="15.85546875" customWidth="1"/>
    <col min="1795" max="1795" width="12.5703125" bestFit="1" customWidth="1"/>
    <col min="1796" max="1796" width="11.5703125" bestFit="1" customWidth="1"/>
    <col min="2047" max="2047" width="10.140625" customWidth="1"/>
    <col min="2048" max="2048" width="41.42578125" customWidth="1"/>
    <col min="2049" max="2049" width="25.140625" customWidth="1"/>
    <col min="2050" max="2050" width="15.85546875" customWidth="1"/>
    <col min="2051" max="2051" width="12.5703125" bestFit="1" customWidth="1"/>
    <col min="2052" max="2052" width="11.5703125" bestFit="1" customWidth="1"/>
    <col min="2303" max="2303" width="10.140625" customWidth="1"/>
    <col min="2304" max="2304" width="41.42578125" customWidth="1"/>
    <col min="2305" max="2305" width="25.140625" customWidth="1"/>
    <col min="2306" max="2306" width="15.85546875" customWidth="1"/>
    <col min="2307" max="2307" width="12.5703125" bestFit="1" customWidth="1"/>
    <col min="2308" max="2308" width="11.5703125" bestFit="1" customWidth="1"/>
    <col min="2559" max="2559" width="10.140625" customWidth="1"/>
    <col min="2560" max="2560" width="41.42578125" customWidth="1"/>
    <col min="2561" max="2561" width="25.140625" customWidth="1"/>
    <col min="2562" max="2562" width="15.85546875" customWidth="1"/>
    <col min="2563" max="2563" width="12.5703125" bestFit="1" customWidth="1"/>
    <col min="2564" max="2564" width="11.5703125" bestFit="1" customWidth="1"/>
    <col min="2815" max="2815" width="10.140625" customWidth="1"/>
    <col min="2816" max="2816" width="41.42578125" customWidth="1"/>
    <col min="2817" max="2817" width="25.140625" customWidth="1"/>
    <col min="2818" max="2818" width="15.85546875" customWidth="1"/>
    <col min="2819" max="2819" width="12.5703125" bestFit="1" customWidth="1"/>
    <col min="2820" max="2820" width="11.5703125" bestFit="1" customWidth="1"/>
    <col min="3071" max="3071" width="10.140625" customWidth="1"/>
    <col min="3072" max="3072" width="41.42578125" customWidth="1"/>
    <col min="3073" max="3073" width="25.140625" customWidth="1"/>
    <col min="3074" max="3074" width="15.85546875" customWidth="1"/>
    <col min="3075" max="3075" width="12.5703125" bestFit="1" customWidth="1"/>
    <col min="3076" max="3076" width="11.5703125" bestFit="1" customWidth="1"/>
    <col min="3327" max="3327" width="10.140625" customWidth="1"/>
    <col min="3328" max="3328" width="41.42578125" customWidth="1"/>
    <col min="3329" max="3329" width="25.140625" customWidth="1"/>
    <col min="3330" max="3330" width="15.85546875" customWidth="1"/>
    <col min="3331" max="3331" width="12.5703125" bestFit="1" customWidth="1"/>
    <col min="3332" max="3332" width="11.5703125" bestFit="1" customWidth="1"/>
    <col min="3583" max="3583" width="10.140625" customWidth="1"/>
    <col min="3584" max="3584" width="41.42578125" customWidth="1"/>
    <col min="3585" max="3585" width="25.140625" customWidth="1"/>
    <col min="3586" max="3586" width="15.85546875" customWidth="1"/>
    <col min="3587" max="3587" width="12.5703125" bestFit="1" customWidth="1"/>
    <col min="3588" max="3588" width="11.5703125" bestFit="1" customWidth="1"/>
    <col min="3839" max="3839" width="10.140625" customWidth="1"/>
    <col min="3840" max="3840" width="41.42578125" customWidth="1"/>
    <col min="3841" max="3841" width="25.140625" customWidth="1"/>
    <col min="3842" max="3842" width="15.85546875" customWidth="1"/>
    <col min="3843" max="3843" width="12.5703125" bestFit="1" customWidth="1"/>
    <col min="3844" max="3844" width="11.5703125" bestFit="1" customWidth="1"/>
    <col min="4095" max="4095" width="10.140625" customWidth="1"/>
    <col min="4096" max="4096" width="41.42578125" customWidth="1"/>
    <col min="4097" max="4097" width="25.140625" customWidth="1"/>
    <col min="4098" max="4098" width="15.85546875" customWidth="1"/>
    <col min="4099" max="4099" width="12.5703125" bestFit="1" customWidth="1"/>
    <col min="4100" max="4100" width="11.5703125" bestFit="1" customWidth="1"/>
    <col min="4351" max="4351" width="10.140625" customWidth="1"/>
    <col min="4352" max="4352" width="41.42578125" customWidth="1"/>
    <col min="4353" max="4353" width="25.140625" customWidth="1"/>
    <col min="4354" max="4354" width="15.85546875" customWidth="1"/>
    <col min="4355" max="4355" width="12.5703125" bestFit="1" customWidth="1"/>
    <col min="4356" max="4356" width="11.5703125" bestFit="1" customWidth="1"/>
    <col min="4607" max="4607" width="10.140625" customWidth="1"/>
    <col min="4608" max="4608" width="41.42578125" customWidth="1"/>
    <col min="4609" max="4609" width="25.140625" customWidth="1"/>
    <col min="4610" max="4610" width="15.85546875" customWidth="1"/>
    <col min="4611" max="4611" width="12.5703125" bestFit="1" customWidth="1"/>
    <col min="4612" max="4612" width="11.5703125" bestFit="1" customWidth="1"/>
    <col min="4863" max="4863" width="10.140625" customWidth="1"/>
    <col min="4864" max="4864" width="41.42578125" customWidth="1"/>
    <col min="4865" max="4865" width="25.140625" customWidth="1"/>
    <col min="4866" max="4866" width="15.85546875" customWidth="1"/>
    <col min="4867" max="4867" width="12.5703125" bestFit="1" customWidth="1"/>
    <col min="4868" max="4868" width="11.5703125" bestFit="1" customWidth="1"/>
    <col min="5119" max="5119" width="10.140625" customWidth="1"/>
    <col min="5120" max="5120" width="41.42578125" customWidth="1"/>
    <col min="5121" max="5121" width="25.140625" customWidth="1"/>
    <col min="5122" max="5122" width="15.85546875" customWidth="1"/>
    <col min="5123" max="5123" width="12.5703125" bestFit="1" customWidth="1"/>
    <col min="5124" max="5124" width="11.5703125" bestFit="1" customWidth="1"/>
    <col min="5375" max="5375" width="10.140625" customWidth="1"/>
    <col min="5376" max="5376" width="41.42578125" customWidth="1"/>
    <col min="5377" max="5377" width="25.140625" customWidth="1"/>
    <col min="5378" max="5378" width="15.85546875" customWidth="1"/>
    <col min="5379" max="5379" width="12.5703125" bestFit="1" customWidth="1"/>
    <col min="5380" max="5380" width="11.5703125" bestFit="1" customWidth="1"/>
    <col min="5631" max="5631" width="10.140625" customWidth="1"/>
    <col min="5632" max="5632" width="41.42578125" customWidth="1"/>
    <col min="5633" max="5633" width="25.140625" customWidth="1"/>
    <col min="5634" max="5634" width="15.85546875" customWidth="1"/>
    <col min="5635" max="5635" width="12.5703125" bestFit="1" customWidth="1"/>
    <col min="5636" max="5636" width="11.5703125" bestFit="1" customWidth="1"/>
    <col min="5887" max="5887" width="10.140625" customWidth="1"/>
    <col min="5888" max="5888" width="41.42578125" customWidth="1"/>
    <col min="5889" max="5889" width="25.140625" customWidth="1"/>
    <col min="5890" max="5890" width="15.85546875" customWidth="1"/>
    <col min="5891" max="5891" width="12.5703125" bestFit="1" customWidth="1"/>
    <col min="5892" max="5892" width="11.5703125" bestFit="1" customWidth="1"/>
    <col min="6143" max="6143" width="10.140625" customWidth="1"/>
    <col min="6144" max="6144" width="41.42578125" customWidth="1"/>
    <col min="6145" max="6145" width="25.140625" customWidth="1"/>
    <col min="6146" max="6146" width="15.85546875" customWidth="1"/>
    <col min="6147" max="6147" width="12.5703125" bestFit="1" customWidth="1"/>
    <col min="6148" max="6148" width="11.5703125" bestFit="1" customWidth="1"/>
    <col min="6399" max="6399" width="10.140625" customWidth="1"/>
    <col min="6400" max="6400" width="41.42578125" customWidth="1"/>
    <col min="6401" max="6401" width="25.140625" customWidth="1"/>
    <col min="6402" max="6402" width="15.85546875" customWidth="1"/>
    <col min="6403" max="6403" width="12.5703125" bestFit="1" customWidth="1"/>
    <col min="6404" max="6404" width="11.5703125" bestFit="1" customWidth="1"/>
    <col min="6655" max="6655" width="10.140625" customWidth="1"/>
    <col min="6656" max="6656" width="41.42578125" customWidth="1"/>
    <col min="6657" max="6657" width="25.140625" customWidth="1"/>
    <col min="6658" max="6658" width="15.85546875" customWidth="1"/>
    <col min="6659" max="6659" width="12.5703125" bestFit="1" customWidth="1"/>
    <col min="6660" max="6660" width="11.5703125" bestFit="1" customWidth="1"/>
    <col min="6911" max="6911" width="10.140625" customWidth="1"/>
    <col min="6912" max="6912" width="41.42578125" customWidth="1"/>
    <col min="6913" max="6913" width="25.140625" customWidth="1"/>
    <col min="6914" max="6914" width="15.85546875" customWidth="1"/>
    <col min="6915" max="6915" width="12.5703125" bestFit="1" customWidth="1"/>
    <col min="6916" max="6916" width="11.5703125" bestFit="1" customWidth="1"/>
    <col min="7167" max="7167" width="10.140625" customWidth="1"/>
    <col min="7168" max="7168" width="41.42578125" customWidth="1"/>
    <col min="7169" max="7169" width="25.140625" customWidth="1"/>
    <col min="7170" max="7170" width="15.85546875" customWidth="1"/>
    <col min="7171" max="7171" width="12.5703125" bestFit="1" customWidth="1"/>
    <col min="7172" max="7172" width="11.5703125" bestFit="1" customWidth="1"/>
    <col min="7423" max="7423" width="10.140625" customWidth="1"/>
    <col min="7424" max="7424" width="41.42578125" customWidth="1"/>
    <col min="7425" max="7425" width="25.140625" customWidth="1"/>
    <col min="7426" max="7426" width="15.85546875" customWidth="1"/>
    <col min="7427" max="7427" width="12.5703125" bestFit="1" customWidth="1"/>
    <col min="7428" max="7428" width="11.5703125" bestFit="1" customWidth="1"/>
    <col min="7679" max="7679" width="10.140625" customWidth="1"/>
    <col min="7680" max="7680" width="41.42578125" customWidth="1"/>
    <col min="7681" max="7681" width="25.140625" customWidth="1"/>
    <col min="7682" max="7682" width="15.85546875" customWidth="1"/>
    <col min="7683" max="7683" width="12.5703125" bestFit="1" customWidth="1"/>
    <col min="7684" max="7684" width="11.5703125" bestFit="1" customWidth="1"/>
    <col min="7935" max="7935" width="10.140625" customWidth="1"/>
    <col min="7936" max="7936" width="41.42578125" customWidth="1"/>
    <col min="7937" max="7937" width="25.140625" customWidth="1"/>
    <col min="7938" max="7938" width="15.85546875" customWidth="1"/>
    <col min="7939" max="7939" width="12.5703125" bestFit="1" customWidth="1"/>
    <col min="7940" max="7940" width="11.5703125" bestFit="1" customWidth="1"/>
    <col min="8191" max="8191" width="10.140625" customWidth="1"/>
    <col min="8192" max="8192" width="41.42578125" customWidth="1"/>
    <col min="8193" max="8193" width="25.140625" customWidth="1"/>
    <col min="8194" max="8194" width="15.85546875" customWidth="1"/>
    <col min="8195" max="8195" width="12.5703125" bestFit="1" customWidth="1"/>
    <col min="8196" max="8196" width="11.5703125" bestFit="1" customWidth="1"/>
    <col min="8447" max="8447" width="10.140625" customWidth="1"/>
    <col min="8448" max="8448" width="41.42578125" customWidth="1"/>
    <col min="8449" max="8449" width="25.140625" customWidth="1"/>
    <col min="8450" max="8450" width="15.85546875" customWidth="1"/>
    <col min="8451" max="8451" width="12.5703125" bestFit="1" customWidth="1"/>
    <col min="8452" max="8452" width="11.5703125" bestFit="1" customWidth="1"/>
    <col min="8703" max="8703" width="10.140625" customWidth="1"/>
    <col min="8704" max="8704" width="41.42578125" customWidth="1"/>
    <col min="8705" max="8705" width="25.140625" customWidth="1"/>
    <col min="8706" max="8706" width="15.85546875" customWidth="1"/>
    <col min="8707" max="8707" width="12.5703125" bestFit="1" customWidth="1"/>
    <col min="8708" max="8708" width="11.5703125" bestFit="1" customWidth="1"/>
    <col min="8959" max="8959" width="10.140625" customWidth="1"/>
    <col min="8960" max="8960" width="41.42578125" customWidth="1"/>
    <col min="8961" max="8961" width="25.140625" customWidth="1"/>
    <col min="8962" max="8962" width="15.85546875" customWidth="1"/>
    <col min="8963" max="8963" width="12.5703125" bestFit="1" customWidth="1"/>
    <col min="8964" max="8964" width="11.5703125" bestFit="1" customWidth="1"/>
    <col min="9215" max="9215" width="10.140625" customWidth="1"/>
    <col min="9216" max="9216" width="41.42578125" customWidth="1"/>
    <col min="9217" max="9217" width="25.140625" customWidth="1"/>
    <col min="9218" max="9218" width="15.85546875" customWidth="1"/>
    <col min="9219" max="9219" width="12.5703125" bestFit="1" customWidth="1"/>
    <col min="9220" max="9220" width="11.5703125" bestFit="1" customWidth="1"/>
    <col min="9471" max="9471" width="10.140625" customWidth="1"/>
    <col min="9472" max="9472" width="41.42578125" customWidth="1"/>
    <col min="9473" max="9473" width="25.140625" customWidth="1"/>
    <col min="9474" max="9474" width="15.85546875" customWidth="1"/>
    <col min="9475" max="9475" width="12.5703125" bestFit="1" customWidth="1"/>
    <col min="9476" max="9476" width="11.5703125" bestFit="1" customWidth="1"/>
    <col min="9727" max="9727" width="10.140625" customWidth="1"/>
    <col min="9728" max="9728" width="41.42578125" customWidth="1"/>
    <col min="9729" max="9729" width="25.140625" customWidth="1"/>
    <col min="9730" max="9730" width="15.85546875" customWidth="1"/>
    <col min="9731" max="9731" width="12.5703125" bestFit="1" customWidth="1"/>
    <col min="9732" max="9732" width="11.5703125" bestFit="1" customWidth="1"/>
    <col min="9983" max="9983" width="10.140625" customWidth="1"/>
    <col min="9984" max="9984" width="41.42578125" customWidth="1"/>
    <col min="9985" max="9985" width="25.140625" customWidth="1"/>
    <col min="9986" max="9986" width="15.85546875" customWidth="1"/>
    <col min="9987" max="9987" width="12.5703125" bestFit="1" customWidth="1"/>
    <col min="9988" max="9988" width="11.5703125" bestFit="1" customWidth="1"/>
    <col min="10239" max="10239" width="10.140625" customWidth="1"/>
    <col min="10240" max="10240" width="41.42578125" customWidth="1"/>
    <col min="10241" max="10241" width="25.140625" customWidth="1"/>
    <col min="10242" max="10242" width="15.85546875" customWidth="1"/>
    <col min="10243" max="10243" width="12.5703125" bestFit="1" customWidth="1"/>
    <col min="10244" max="10244" width="11.5703125" bestFit="1" customWidth="1"/>
    <col min="10495" max="10495" width="10.140625" customWidth="1"/>
    <col min="10496" max="10496" width="41.42578125" customWidth="1"/>
    <col min="10497" max="10497" width="25.140625" customWidth="1"/>
    <col min="10498" max="10498" width="15.85546875" customWidth="1"/>
    <col min="10499" max="10499" width="12.5703125" bestFit="1" customWidth="1"/>
    <col min="10500" max="10500" width="11.5703125" bestFit="1" customWidth="1"/>
    <col min="10751" max="10751" width="10.140625" customWidth="1"/>
    <col min="10752" max="10752" width="41.42578125" customWidth="1"/>
    <col min="10753" max="10753" width="25.140625" customWidth="1"/>
    <col min="10754" max="10754" width="15.85546875" customWidth="1"/>
    <col min="10755" max="10755" width="12.5703125" bestFit="1" customWidth="1"/>
    <col min="10756" max="10756" width="11.5703125" bestFit="1" customWidth="1"/>
    <col min="11007" max="11007" width="10.140625" customWidth="1"/>
    <col min="11008" max="11008" width="41.42578125" customWidth="1"/>
    <col min="11009" max="11009" width="25.140625" customWidth="1"/>
    <col min="11010" max="11010" width="15.85546875" customWidth="1"/>
    <col min="11011" max="11011" width="12.5703125" bestFit="1" customWidth="1"/>
    <col min="11012" max="11012" width="11.5703125" bestFit="1" customWidth="1"/>
    <col min="11263" max="11263" width="10.140625" customWidth="1"/>
    <col min="11264" max="11264" width="41.42578125" customWidth="1"/>
    <col min="11265" max="11265" width="25.140625" customWidth="1"/>
    <col min="11266" max="11266" width="15.85546875" customWidth="1"/>
    <col min="11267" max="11267" width="12.5703125" bestFit="1" customWidth="1"/>
    <col min="11268" max="11268" width="11.5703125" bestFit="1" customWidth="1"/>
    <col min="11519" max="11519" width="10.140625" customWidth="1"/>
    <col min="11520" max="11520" width="41.42578125" customWidth="1"/>
    <col min="11521" max="11521" width="25.140625" customWidth="1"/>
    <col min="11522" max="11522" width="15.85546875" customWidth="1"/>
    <col min="11523" max="11523" width="12.5703125" bestFit="1" customWidth="1"/>
    <col min="11524" max="11524" width="11.5703125" bestFit="1" customWidth="1"/>
    <col min="11775" max="11775" width="10.140625" customWidth="1"/>
    <col min="11776" max="11776" width="41.42578125" customWidth="1"/>
    <col min="11777" max="11777" width="25.140625" customWidth="1"/>
    <col min="11778" max="11778" width="15.85546875" customWidth="1"/>
    <col min="11779" max="11779" width="12.5703125" bestFit="1" customWidth="1"/>
    <col min="11780" max="11780" width="11.5703125" bestFit="1" customWidth="1"/>
    <col min="12031" max="12031" width="10.140625" customWidth="1"/>
    <col min="12032" max="12032" width="41.42578125" customWidth="1"/>
    <col min="12033" max="12033" width="25.140625" customWidth="1"/>
    <col min="12034" max="12034" width="15.85546875" customWidth="1"/>
    <col min="12035" max="12035" width="12.5703125" bestFit="1" customWidth="1"/>
    <col min="12036" max="12036" width="11.5703125" bestFit="1" customWidth="1"/>
    <col min="12287" max="12287" width="10.140625" customWidth="1"/>
    <col min="12288" max="12288" width="41.42578125" customWidth="1"/>
    <col min="12289" max="12289" width="25.140625" customWidth="1"/>
    <col min="12290" max="12290" width="15.85546875" customWidth="1"/>
    <col min="12291" max="12291" width="12.5703125" bestFit="1" customWidth="1"/>
    <col min="12292" max="12292" width="11.5703125" bestFit="1" customWidth="1"/>
    <col min="12543" max="12543" width="10.140625" customWidth="1"/>
    <col min="12544" max="12544" width="41.42578125" customWidth="1"/>
    <col min="12545" max="12545" width="25.140625" customWidth="1"/>
    <col min="12546" max="12546" width="15.85546875" customWidth="1"/>
    <col min="12547" max="12547" width="12.5703125" bestFit="1" customWidth="1"/>
    <col min="12548" max="12548" width="11.5703125" bestFit="1" customWidth="1"/>
    <col min="12799" max="12799" width="10.140625" customWidth="1"/>
    <col min="12800" max="12800" width="41.42578125" customWidth="1"/>
    <col min="12801" max="12801" width="25.140625" customWidth="1"/>
    <col min="12802" max="12802" width="15.85546875" customWidth="1"/>
    <col min="12803" max="12803" width="12.5703125" bestFit="1" customWidth="1"/>
    <col min="12804" max="12804" width="11.5703125" bestFit="1" customWidth="1"/>
    <col min="13055" max="13055" width="10.140625" customWidth="1"/>
    <col min="13056" max="13056" width="41.42578125" customWidth="1"/>
    <col min="13057" max="13057" width="25.140625" customWidth="1"/>
    <col min="13058" max="13058" width="15.85546875" customWidth="1"/>
    <col min="13059" max="13059" width="12.5703125" bestFit="1" customWidth="1"/>
    <col min="13060" max="13060" width="11.5703125" bestFit="1" customWidth="1"/>
    <col min="13311" max="13311" width="10.140625" customWidth="1"/>
    <col min="13312" max="13312" width="41.42578125" customWidth="1"/>
    <col min="13313" max="13313" width="25.140625" customWidth="1"/>
    <col min="13314" max="13314" width="15.85546875" customWidth="1"/>
    <col min="13315" max="13315" width="12.5703125" bestFit="1" customWidth="1"/>
    <col min="13316" max="13316" width="11.5703125" bestFit="1" customWidth="1"/>
    <col min="13567" max="13567" width="10.140625" customWidth="1"/>
    <col min="13568" max="13568" width="41.42578125" customWidth="1"/>
    <col min="13569" max="13569" width="25.140625" customWidth="1"/>
    <col min="13570" max="13570" width="15.85546875" customWidth="1"/>
    <col min="13571" max="13571" width="12.5703125" bestFit="1" customWidth="1"/>
    <col min="13572" max="13572" width="11.5703125" bestFit="1" customWidth="1"/>
    <col min="13823" max="13823" width="10.140625" customWidth="1"/>
    <col min="13824" max="13824" width="41.42578125" customWidth="1"/>
    <col min="13825" max="13825" width="25.140625" customWidth="1"/>
    <col min="13826" max="13826" width="15.85546875" customWidth="1"/>
    <col min="13827" max="13827" width="12.5703125" bestFit="1" customWidth="1"/>
    <col min="13828" max="13828" width="11.5703125" bestFit="1" customWidth="1"/>
    <col min="14079" max="14079" width="10.140625" customWidth="1"/>
    <col min="14080" max="14080" width="41.42578125" customWidth="1"/>
    <col min="14081" max="14081" width="25.140625" customWidth="1"/>
    <col min="14082" max="14082" width="15.85546875" customWidth="1"/>
    <col min="14083" max="14083" width="12.5703125" bestFit="1" customWidth="1"/>
    <col min="14084" max="14084" width="11.5703125" bestFit="1" customWidth="1"/>
    <col min="14335" max="14335" width="10.140625" customWidth="1"/>
    <col min="14336" max="14336" width="41.42578125" customWidth="1"/>
    <col min="14337" max="14337" width="25.140625" customWidth="1"/>
    <col min="14338" max="14338" width="15.85546875" customWidth="1"/>
    <col min="14339" max="14339" width="12.5703125" bestFit="1" customWidth="1"/>
    <col min="14340" max="14340" width="11.5703125" bestFit="1" customWidth="1"/>
    <col min="14591" max="14591" width="10.140625" customWidth="1"/>
    <col min="14592" max="14592" width="41.42578125" customWidth="1"/>
    <col min="14593" max="14593" width="25.140625" customWidth="1"/>
    <col min="14594" max="14594" width="15.85546875" customWidth="1"/>
    <col min="14595" max="14595" width="12.5703125" bestFit="1" customWidth="1"/>
    <col min="14596" max="14596" width="11.5703125" bestFit="1" customWidth="1"/>
    <col min="14847" max="14847" width="10.140625" customWidth="1"/>
    <col min="14848" max="14848" width="41.42578125" customWidth="1"/>
    <col min="14849" max="14849" width="25.140625" customWidth="1"/>
    <col min="14850" max="14850" width="15.85546875" customWidth="1"/>
    <col min="14851" max="14851" width="12.5703125" bestFit="1" customWidth="1"/>
    <col min="14852" max="14852" width="11.5703125" bestFit="1" customWidth="1"/>
    <col min="15103" max="15103" width="10.140625" customWidth="1"/>
    <col min="15104" max="15104" width="41.42578125" customWidth="1"/>
    <col min="15105" max="15105" width="25.140625" customWidth="1"/>
    <col min="15106" max="15106" width="15.85546875" customWidth="1"/>
    <col min="15107" max="15107" width="12.5703125" bestFit="1" customWidth="1"/>
    <col min="15108" max="15108" width="11.5703125" bestFit="1" customWidth="1"/>
    <col min="15359" max="15359" width="10.140625" customWidth="1"/>
    <col min="15360" max="15360" width="41.42578125" customWidth="1"/>
    <col min="15361" max="15361" width="25.140625" customWidth="1"/>
    <col min="15362" max="15362" width="15.85546875" customWidth="1"/>
    <col min="15363" max="15363" width="12.5703125" bestFit="1" customWidth="1"/>
    <col min="15364" max="15364" width="11.5703125" bestFit="1" customWidth="1"/>
    <col min="15615" max="15615" width="10.140625" customWidth="1"/>
    <col min="15616" max="15616" width="41.42578125" customWidth="1"/>
    <col min="15617" max="15617" width="25.140625" customWidth="1"/>
    <col min="15618" max="15618" width="15.85546875" customWidth="1"/>
    <col min="15619" max="15619" width="12.5703125" bestFit="1" customWidth="1"/>
    <col min="15620" max="15620" width="11.5703125" bestFit="1" customWidth="1"/>
    <col min="15871" max="15871" width="10.140625" customWidth="1"/>
    <col min="15872" max="15872" width="41.42578125" customWidth="1"/>
    <col min="15873" max="15873" width="25.140625" customWidth="1"/>
    <col min="15874" max="15874" width="15.85546875" customWidth="1"/>
    <col min="15875" max="15875" width="12.5703125" bestFit="1" customWidth="1"/>
    <col min="15876" max="15876" width="11.5703125" bestFit="1" customWidth="1"/>
    <col min="16127" max="16127" width="10.140625" customWidth="1"/>
    <col min="16128" max="16128" width="41.42578125" customWidth="1"/>
    <col min="16129" max="16129" width="25.140625" customWidth="1"/>
    <col min="16130" max="16130" width="15.85546875" customWidth="1"/>
    <col min="16131" max="16131" width="12.5703125" bestFit="1" customWidth="1"/>
    <col min="16132" max="16132" width="11.5703125" bestFit="1" customWidth="1"/>
  </cols>
  <sheetData>
    <row r="1" spans="1:4" ht="18">
      <c r="A1" s="71"/>
      <c r="B1" s="71"/>
      <c r="C1" s="71"/>
    </row>
    <row r="2" spans="1:4" ht="31.5" customHeight="1">
      <c r="A2" s="419" t="s">
        <v>71</v>
      </c>
      <c r="B2" s="419"/>
      <c r="C2" s="419"/>
    </row>
    <row r="3" spans="1:4" ht="45" customHeight="1">
      <c r="A3" s="420" t="s">
        <v>110</v>
      </c>
      <c r="B3" s="420"/>
      <c r="C3" s="420"/>
    </row>
    <row r="4" spans="1:4" ht="15.75" thickBot="1">
      <c r="C4" s="72" t="s">
        <v>72</v>
      </c>
    </row>
    <row r="5" spans="1:4" s="100" customFormat="1" ht="41.25" customHeight="1" thickBot="1">
      <c r="A5" s="73" t="s">
        <v>1</v>
      </c>
      <c r="B5" s="73" t="s">
        <v>107</v>
      </c>
      <c r="C5" s="73" t="s">
        <v>18</v>
      </c>
    </row>
    <row r="6" spans="1:4" s="102" customFormat="1" ht="35.1" customHeight="1" thickBot="1">
      <c r="A6" s="74">
        <v>1</v>
      </c>
      <c r="B6" s="75" t="s">
        <v>112</v>
      </c>
      <c r="C6" s="76">
        <v>0.83499999999999996</v>
      </c>
      <c r="D6" s="101"/>
    </row>
    <row r="7" spans="1:4" s="102" customFormat="1" ht="35.1" customHeight="1" thickBot="1">
      <c r="A7" s="74">
        <v>2</v>
      </c>
      <c r="B7" s="75" t="s">
        <v>113</v>
      </c>
      <c r="C7" s="76">
        <v>1.0429999999999999</v>
      </c>
      <c r="D7" s="101"/>
    </row>
    <row r="8" spans="1:4" s="102" customFormat="1" ht="35.1" customHeight="1" thickBot="1">
      <c r="A8" s="74">
        <v>3</v>
      </c>
      <c r="B8" s="75" t="s">
        <v>114</v>
      </c>
      <c r="C8" s="76">
        <v>3.6930000000000001</v>
      </c>
      <c r="D8" s="101"/>
    </row>
    <row r="9" spans="1:4" s="102" customFormat="1" ht="35.1" customHeight="1" thickBot="1">
      <c r="A9" s="74">
        <v>4</v>
      </c>
      <c r="B9" s="75" t="s">
        <v>115</v>
      </c>
      <c r="C9" s="76">
        <v>1.6</v>
      </c>
      <c r="D9" s="101"/>
    </row>
    <row r="10" spans="1:4" s="102" customFormat="1" ht="35.1" customHeight="1" thickBot="1">
      <c r="A10" s="74">
        <v>5</v>
      </c>
      <c r="B10" s="75" t="s">
        <v>116</v>
      </c>
      <c r="C10" s="76">
        <v>2.524</v>
      </c>
      <c r="D10" s="101"/>
    </row>
    <row r="11" spans="1:4" s="102" customFormat="1" ht="35.1" customHeight="1" thickBot="1">
      <c r="A11" s="74">
        <v>6</v>
      </c>
      <c r="B11" s="75" t="s">
        <v>117</v>
      </c>
      <c r="C11" s="76">
        <v>2.871</v>
      </c>
      <c r="D11" s="101"/>
    </row>
    <row r="12" spans="1:4" s="102" customFormat="1" ht="35.1" customHeight="1" thickBot="1">
      <c r="A12" s="74">
        <v>7</v>
      </c>
      <c r="B12" s="75" t="s">
        <v>118</v>
      </c>
      <c r="C12" s="76">
        <v>0.55800000000000005</v>
      </c>
      <c r="D12" s="101"/>
    </row>
    <row r="13" spans="1:4" s="102" customFormat="1" ht="35.1" customHeight="1" thickBot="1">
      <c r="A13" s="74">
        <v>8</v>
      </c>
      <c r="B13" s="75" t="s">
        <v>119</v>
      </c>
      <c r="C13" s="76">
        <v>2.464</v>
      </c>
      <c r="D13" s="101"/>
    </row>
    <row r="14" spans="1:4" s="102" customFormat="1" ht="35.1" customHeight="1" thickBot="1">
      <c r="A14" s="74">
        <v>9</v>
      </c>
      <c r="B14" s="75" t="s">
        <v>120</v>
      </c>
      <c r="C14" s="76">
        <v>2.6019999999999999</v>
      </c>
      <c r="D14" s="101"/>
    </row>
    <row r="15" spans="1:4" s="102" customFormat="1" ht="35.1" customHeight="1" thickBot="1">
      <c r="A15" s="74">
        <v>10</v>
      </c>
      <c r="B15" s="75" t="s">
        <v>121</v>
      </c>
      <c r="C15" s="76">
        <v>3.2450000000000001</v>
      </c>
      <c r="D15" s="101"/>
    </row>
    <row r="16" spans="1:4" s="102" customFormat="1" ht="35.1" customHeight="1" thickBot="1">
      <c r="A16" s="74">
        <v>11</v>
      </c>
      <c r="B16" s="75" t="s">
        <v>122</v>
      </c>
      <c r="C16" s="76">
        <v>1.4139999999999999</v>
      </c>
      <c r="D16" s="101"/>
    </row>
    <row r="17" spans="1:4" s="102" customFormat="1" ht="35.1" customHeight="1" thickBot="1">
      <c r="A17" s="74">
        <v>12</v>
      </c>
      <c r="B17" s="75" t="s">
        <v>123</v>
      </c>
      <c r="C17" s="76">
        <v>1.175</v>
      </c>
      <c r="D17" s="101"/>
    </row>
    <row r="18" spans="1:4" s="102" customFormat="1" ht="35.1" customHeight="1" thickBot="1">
      <c r="A18" s="74">
        <v>13</v>
      </c>
      <c r="B18" s="75" t="s">
        <v>125</v>
      </c>
      <c r="C18" s="76">
        <v>4.718</v>
      </c>
      <c r="D18" s="101"/>
    </row>
    <row r="19" spans="1:4" s="102" customFormat="1" ht="35.1" customHeight="1" thickBot="1">
      <c r="A19" s="74"/>
      <c r="B19" s="79" t="s">
        <v>15</v>
      </c>
      <c r="C19" s="80">
        <f>SUM(C6:C18)</f>
        <v>28.742000000000004</v>
      </c>
    </row>
    <row r="21" spans="1:4">
      <c r="C21" s="125"/>
    </row>
    <row r="22" spans="1:4">
      <c r="C22" s="81"/>
    </row>
    <row r="23" spans="1:4">
      <c r="C23" s="81"/>
    </row>
    <row r="24" spans="1:4">
      <c r="B24" s="121" t="s">
        <v>100</v>
      </c>
      <c r="C24" s="121" t="s">
        <v>24</v>
      </c>
    </row>
    <row r="25" spans="1:4">
      <c r="B25" s="121" t="s">
        <v>104</v>
      </c>
      <c r="C25" s="121" t="s">
        <v>103</v>
      </c>
    </row>
    <row r="26" spans="1:4">
      <c r="B26" s="121" t="s">
        <v>102</v>
      </c>
      <c r="C26" s="121" t="s">
        <v>102</v>
      </c>
    </row>
    <row r="27" spans="1:4">
      <c r="B27" s="1"/>
    </row>
  </sheetData>
  <mergeCells count="2">
    <mergeCell ref="A2:C2"/>
    <mergeCell ref="A3:C3"/>
  </mergeCells>
  <printOptions horizontalCentered="1"/>
  <pageMargins left="0.75" right="0.25" top="0.75" bottom="0.25" header="0.5" footer="0.5"/>
  <pageSetup scale="90" orientation="portrait" r:id="rId1"/>
  <headerFooter alignWithMargins="0"/>
</worksheet>
</file>

<file path=xl/worksheets/sheet6.xml><?xml version="1.0" encoding="utf-8"?>
<worksheet xmlns="http://schemas.openxmlformats.org/spreadsheetml/2006/main" xmlns:r="http://schemas.openxmlformats.org/officeDocument/2006/relationships">
  <dimension ref="A1:L31"/>
  <sheetViews>
    <sheetView workbookViewId="0">
      <selection activeCell="F33" sqref="F33:F34"/>
    </sheetView>
  </sheetViews>
  <sheetFormatPr defaultRowHeight="14.25"/>
  <cols>
    <col min="1" max="1" width="7.140625" style="30" customWidth="1"/>
    <col min="2" max="2" width="19.85546875" style="21" customWidth="1"/>
    <col min="3" max="3" width="10.5703125" style="30" customWidth="1"/>
    <col min="4" max="5" width="10.85546875" style="30" customWidth="1"/>
    <col min="6" max="6" width="10.42578125" style="30" bestFit="1" customWidth="1"/>
    <col min="7" max="7" width="12.42578125" style="30" customWidth="1"/>
    <col min="8" max="8" width="11.140625" style="30" customWidth="1"/>
    <col min="9" max="9" width="12.42578125" style="30" customWidth="1"/>
    <col min="10" max="10" width="10.140625" style="30" bestFit="1" customWidth="1"/>
    <col min="11" max="11" width="12.42578125" style="30" bestFit="1" customWidth="1"/>
    <col min="12" max="256" width="9.140625" style="21"/>
    <col min="257" max="257" width="7.140625" style="21" customWidth="1"/>
    <col min="258" max="258" width="46.5703125" style="21" customWidth="1"/>
    <col min="259" max="259" width="14.5703125" style="21" customWidth="1"/>
    <col min="260" max="260" width="13" style="21" customWidth="1"/>
    <col min="261" max="261" width="14" style="21" customWidth="1"/>
    <col min="262" max="263" width="9.140625" style="21"/>
    <col min="264" max="264" width="12.85546875" style="21" bestFit="1" customWidth="1"/>
    <col min="265" max="512" width="9.140625" style="21"/>
    <col min="513" max="513" width="7.140625" style="21" customWidth="1"/>
    <col min="514" max="514" width="46.5703125" style="21" customWidth="1"/>
    <col min="515" max="515" width="14.5703125" style="21" customWidth="1"/>
    <col min="516" max="516" width="13" style="21" customWidth="1"/>
    <col min="517" max="517" width="14" style="21" customWidth="1"/>
    <col min="518" max="519" width="9.140625" style="21"/>
    <col min="520" max="520" width="12.85546875" style="21" bestFit="1" customWidth="1"/>
    <col min="521" max="768" width="9.140625" style="21"/>
    <col min="769" max="769" width="7.140625" style="21" customWidth="1"/>
    <col min="770" max="770" width="46.5703125" style="21" customWidth="1"/>
    <col min="771" max="771" width="14.5703125" style="21" customWidth="1"/>
    <col min="772" max="772" width="13" style="21" customWidth="1"/>
    <col min="773" max="773" width="14" style="21" customWidth="1"/>
    <col min="774" max="775" width="9.140625" style="21"/>
    <col min="776" max="776" width="12.85546875" style="21" bestFit="1" customWidth="1"/>
    <col min="777" max="1024" width="9.140625" style="21"/>
    <col min="1025" max="1025" width="7.140625" style="21" customWidth="1"/>
    <col min="1026" max="1026" width="46.5703125" style="21" customWidth="1"/>
    <col min="1027" max="1027" width="14.5703125" style="21" customWidth="1"/>
    <col min="1028" max="1028" width="13" style="21" customWidth="1"/>
    <col min="1029" max="1029" width="14" style="21" customWidth="1"/>
    <col min="1030" max="1031" width="9.140625" style="21"/>
    <col min="1032" max="1032" width="12.85546875" style="21" bestFit="1" customWidth="1"/>
    <col min="1033" max="1280" width="9.140625" style="21"/>
    <col min="1281" max="1281" width="7.140625" style="21" customWidth="1"/>
    <col min="1282" max="1282" width="46.5703125" style="21" customWidth="1"/>
    <col min="1283" max="1283" width="14.5703125" style="21" customWidth="1"/>
    <col min="1284" max="1284" width="13" style="21" customWidth="1"/>
    <col min="1285" max="1285" width="14" style="21" customWidth="1"/>
    <col min="1286" max="1287" width="9.140625" style="21"/>
    <col min="1288" max="1288" width="12.85546875" style="21" bestFit="1" customWidth="1"/>
    <col min="1289" max="1536" width="9.140625" style="21"/>
    <col min="1537" max="1537" width="7.140625" style="21" customWidth="1"/>
    <col min="1538" max="1538" width="46.5703125" style="21" customWidth="1"/>
    <col min="1539" max="1539" width="14.5703125" style="21" customWidth="1"/>
    <col min="1540" max="1540" width="13" style="21" customWidth="1"/>
    <col min="1541" max="1541" width="14" style="21" customWidth="1"/>
    <col min="1542" max="1543" width="9.140625" style="21"/>
    <col min="1544" max="1544" width="12.85546875" style="21" bestFit="1" customWidth="1"/>
    <col min="1545" max="1792" width="9.140625" style="21"/>
    <col min="1793" max="1793" width="7.140625" style="21" customWidth="1"/>
    <col min="1794" max="1794" width="46.5703125" style="21" customWidth="1"/>
    <col min="1795" max="1795" width="14.5703125" style="21" customWidth="1"/>
    <col min="1796" max="1796" width="13" style="21" customWidth="1"/>
    <col min="1797" max="1797" width="14" style="21" customWidth="1"/>
    <col min="1798" max="1799" width="9.140625" style="21"/>
    <col min="1800" max="1800" width="12.85546875" style="21" bestFit="1" customWidth="1"/>
    <col min="1801" max="2048" width="9.140625" style="21"/>
    <col min="2049" max="2049" width="7.140625" style="21" customWidth="1"/>
    <col min="2050" max="2050" width="46.5703125" style="21" customWidth="1"/>
    <col min="2051" max="2051" width="14.5703125" style="21" customWidth="1"/>
    <col min="2052" max="2052" width="13" style="21" customWidth="1"/>
    <col min="2053" max="2053" width="14" style="21" customWidth="1"/>
    <col min="2054" max="2055" width="9.140625" style="21"/>
    <col min="2056" max="2056" width="12.85546875" style="21" bestFit="1" customWidth="1"/>
    <col min="2057" max="2304" width="9.140625" style="21"/>
    <col min="2305" max="2305" width="7.140625" style="21" customWidth="1"/>
    <col min="2306" max="2306" width="46.5703125" style="21" customWidth="1"/>
    <col min="2307" max="2307" width="14.5703125" style="21" customWidth="1"/>
    <col min="2308" max="2308" width="13" style="21" customWidth="1"/>
    <col min="2309" max="2309" width="14" style="21" customWidth="1"/>
    <col min="2310" max="2311" width="9.140625" style="21"/>
    <col min="2312" max="2312" width="12.85546875" style="21" bestFit="1" customWidth="1"/>
    <col min="2313" max="2560" width="9.140625" style="21"/>
    <col min="2561" max="2561" width="7.140625" style="21" customWidth="1"/>
    <col min="2562" max="2562" width="46.5703125" style="21" customWidth="1"/>
    <col min="2563" max="2563" width="14.5703125" style="21" customWidth="1"/>
    <col min="2564" max="2564" width="13" style="21" customWidth="1"/>
    <col min="2565" max="2565" width="14" style="21" customWidth="1"/>
    <col min="2566" max="2567" width="9.140625" style="21"/>
    <col min="2568" max="2568" width="12.85546875" style="21" bestFit="1" customWidth="1"/>
    <col min="2569" max="2816" width="9.140625" style="21"/>
    <col min="2817" max="2817" width="7.140625" style="21" customWidth="1"/>
    <col min="2818" max="2818" width="46.5703125" style="21" customWidth="1"/>
    <col min="2819" max="2819" width="14.5703125" style="21" customWidth="1"/>
    <col min="2820" max="2820" width="13" style="21" customWidth="1"/>
    <col min="2821" max="2821" width="14" style="21" customWidth="1"/>
    <col min="2822" max="2823" width="9.140625" style="21"/>
    <col min="2824" max="2824" width="12.85546875" style="21" bestFit="1" customWidth="1"/>
    <col min="2825" max="3072" width="9.140625" style="21"/>
    <col min="3073" max="3073" width="7.140625" style="21" customWidth="1"/>
    <col min="3074" max="3074" width="46.5703125" style="21" customWidth="1"/>
    <col min="3075" max="3075" width="14.5703125" style="21" customWidth="1"/>
    <col min="3076" max="3076" width="13" style="21" customWidth="1"/>
    <col min="3077" max="3077" width="14" style="21" customWidth="1"/>
    <col min="3078" max="3079" width="9.140625" style="21"/>
    <col min="3080" max="3080" width="12.85546875" style="21" bestFit="1" customWidth="1"/>
    <col min="3081" max="3328" width="9.140625" style="21"/>
    <col min="3329" max="3329" width="7.140625" style="21" customWidth="1"/>
    <col min="3330" max="3330" width="46.5703125" style="21" customWidth="1"/>
    <col min="3331" max="3331" width="14.5703125" style="21" customWidth="1"/>
    <col min="3332" max="3332" width="13" style="21" customWidth="1"/>
    <col min="3333" max="3333" width="14" style="21" customWidth="1"/>
    <col min="3334" max="3335" width="9.140625" style="21"/>
    <col min="3336" max="3336" width="12.85546875" style="21" bestFit="1" customWidth="1"/>
    <col min="3337" max="3584" width="9.140625" style="21"/>
    <col min="3585" max="3585" width="7.140625" style="21" customWidth="1"/>
    <col min="3586" max="3586" width="46.5703125" style="21" customWidth="1"/>
    <col min="3587" max="3587" width="14.5703125" style="21" customWidth="1"/>
    <col min="3588" max="3588" width="13" style="21" customWidth="1"/>
    <col min="3589" max="3589" width="14" style="21" customWidth="1"/>
    <col min="3590" max="3591" width="9.140625" style="21"/>
    <col min="3592" max="3592" width="12.85546875" style="21" bestFit="1" customWidth="1"/>
    <col min="3593" max="3840" width="9.140625" style="21"/>
    <col min="3841" max="3841" width="7.140625" style="21" customWidth="1"/>
    <col min="3842" max="3842" width="46.5703125" style="21" customWidth="1"/>
    <col min="3843" max="3843" width="14.5703125" style="21" customWidth="1"/>
    <col min="3844" max="3844" width="13" style="21" customWidth="1"/>
    <col min="3845" max="3845" width="14" style="21" customWidth="1"/>
    <col min="3846" max="3847" width="9.140625" style="21"/>
    <col min="3848" max="3848" width="12.85546875" style="21" bestFit="1" customWidth="1"/>
    <col min="3849" max="4096" width="9.140625" style="21"/>
    <col min="4097" max="4097" width="7.140625" style="21" customWidth="1"/>
    <col min="4098" max="4098" width="46.5703125" style="21" customWidth="1"/>
    <col min="4099" max="4099" width="14.5703125" style="21" customWidth="1"/>
    <col min="4100" max="4100" width="13" style="21" customWidth="1"/>
    <col min="4101" max="4101" width="14" style="21" customWidth="1"/>
    <col min="4102" max="4103" width="9.140625" style="21"/>
    <col min="4104" max="4104" width="12.85546875" style="21" bestFit="1" customWidth="1"/>
    <col min="4105" max="4352" width="9.140625" style="21"/>
    <col min="4353" max="4353" width="7.140625" style="21" customWidth="1"/>
    <col min="4354" max="4354" width="46.5703125" style="21" customWidth="1"/>
    <col min="4355" max="4355" width="14.5703125" style="21" customWidth="1"/>
    <col min="4356" max="4356" width="13" style="21" customWidth="1"/>
    <col min="4357" max="4357" width="14" style="21" customWidth="1"/>
    <col min="4358" max="4359" width="9.140625" style="21"/>
    <col min="4360" max="4360" width="12.85546875" style="21" bestFit="1" customWidth="1"/>
    <col min="4361" max="4608" width="9.140625" style="21"/>
    <col min="4609" max="4609" width="7.140625" style="21" customWidth="1"/>
    <col min="4610" max="4610" width="46.5703125" style="21" customWidth="1"/>
    <col min="4611" max="4611" width="14.5703125" style="21" customWidth="1"/>
    <col min="4612" max="4612" width="13" style="21" customWidth="1"/>
    <col min="4613" max="4613" width="14" style="21" customWidth="1"/>
    <col min="4614" max="4615" width="9.140625" style="21"/>
    <col min="4616" max="4616" width="12.85546875" style="21" bestFit="1" customWidth="1"/>
    <col min="4617" max="4864" width="9.140625" style="21"/>
    <col min="4865" max="4865" width="7.140625" style="21" customWidth="1"/>
    <col min="4866" max="4866" width="46.5703125" style="21" customWidth="1"/>
    <col min="4867" max="4867" width="14.5703125" style="21" customWidth="1"/>
    <col min="4868" max="4868" width="13" style="21" customWidth="1"/>
    <col min="4869" max="4869" width="14" style="21" customWidth="1"/>
    <col min="4870" max="4871" width="9.140625" style="21"/>
    <col min="4872" max="4872" width="12.85546875" style="21" bestFit="1" customWidth="1"/>
    <col min="4873" max="5120" width="9.140625" style="21"/>
    <col min="5121" max="5121" width="7.140625" style="21" customWidth="1"/>
    <col min="5122" max="5122" width="46.5703125" style="21" customWidth="1"/>
    <col min="5123" max="5123" width="14.5703125" style="21" customWidth="1"/>
    <col min="5124" max="5124" width="13" style="21" customWidth="1"/>
    <col min="5125" max="5125" width="14" style="21" customWidth="1"/>
    <col min="5126" max="5127" width="9.140625" style="21"/>
    <col min="5128" max="5128" width="12.85546875" style="21" bestFit="1" customWidth="1"/>
    <col min="5129" max="5376" width="9.140625" style="21"/>
    <col min="5377" max="5377" width="7.140625" style="21" customWidth="1"/>
    <col min="5378" max="5378" width="46.5703125" style="21" customWidth="1"/>
    <col min="5379" max="5379" width="14.5703125" style="21" customWidth="1"/>
    <col min="5380" max="5380" width="13" style="21" customWidth="1"/>
    <col min="5381" max="5381" width="14" style="21" customWidth="1"/>
    <col min="5382" max="5383" width="9.140625" style="21"/>
    <col min="5384" max="5384" width="12.85546875" style="21" bestFit="1" customWidth="1"/>
    <col min="5385" max="5632" width="9.140625" style="21"/>
    <col min="5633" max="5633" width="7.140625" style="21" customWidth="1"/>
    <col min="5634" max="5634" width="46.5703125" style="21" customWidth="1"/>
    <col min="5635" max="5635" width="14.5703125" style="21" customWidth="1"/>
    <col min="5636" max="5636" width="13" style="21" customWidth="1"/>
    <col min="5637" max="5637" width="14" style="21" customWidth="1"/>
    <col min="5638" max="5639" width="9.140625" style="21"/>
    <col min="5640" max="5640" width="12.85546875" style="21" bestFit="1" customWidth="1"/>
    <col min="5641" max="5888" width="9.140625" style="21"/>
    <col min="5889" max="5889" width="7.140625" style="21" customWidth="1"/>
    <col min="5890" max="5890" width="46.5703125" style="21" customWidth="1"/>
    <col min="5891" max="5891" width="14.5703125" style="21" customWidth="1"/>
    <col min="5892" max="5892" width="13" style="21" customWidth="1"/>
    <col min="5893" max="5893" width="14" style="21" customWidth="1"/>
    <col min="5894" max="5895" width="9.140625" style="21"/>
    <col min="5896" max="5896" width="12.85546875" style="21" bestFit="1" customWidth="1"/>
    <col min="5897" max="6144" width="9.140625" style="21"/>
    <col min="6145" max="6145" width="7.140625" style="21" customWidth="1"/>
    <col min="6146" max="6146" width="46.5703125" style="21" customWidth="1"/>
    <col min="6147" max="6147" width="14.5703125" style="21" customWidth="1"/>
    <col min="6148" max="6148" width="13" style="21" customWidth="1"/>
    <col min="6149" max="6149" width="14" style="21" customWidth="1"/>
    <col min="6150" max="6151" width="9.140625" style="21"/>
    <col min="6152" max="6152" width="12.85546875" style="21" bestFit="1" customWidth="1"/>
    <col min="6153" max="6400" width="9.140625" style="21"/>
    <col min="6401" max="6401" width="7.140625" style="21" customWidth="1"/>
    <col min="6402" max="6402" width="46.5703125" style="21" customWidth="1"/>
    <col min="6403" max="6403" width="14.5703125" style="21" customWidth="1"/>
    <col min="6404" max="6404" width="13" style="21" customWidth="1"/>
    <col min="6405" max="6405" width="14" style="21" customWidth="1"/>
    <col min="6406" max="6407" width="9.140625" style="21"/>
    <col min="6408" max="6408" width="12.85546875" style="21" bestFit="1" customWidth="1"/>
    <col min="6409" max="6656" width="9.140625" style="21"/>
    <col min="6657" max="6657" width="7.140625" style="21" customWidth="1"/>
    <col min="6658" max="6658" width="46.5703125" style="21" customWidth="1"/>
    <col min="6659" max="6659" width="14.5703125" style="21" customWidth="1"/>
    <col min="6660" max="6660" width="13" style="21" customWidth="1"/>
    <col min="6661" max="6661" width="14" style="21" customWidth="1"/>
    <col min="6662" max="6663" width="9.140625" style="21"/>
    <col min="6664" max="6664" width="12.85546875" style="21" bestFit="1" customWidth="1"/>
    <col min="6665" max="6912" width="9.140625" style="21"/>
    <col min="6913" max="6913" width="7.140625" style="21" customWidth="1"/>
    <col min="6914" max="6914" width="46.5703125" style="21" customWidth="1"/>
    <col min="6915" max="6915" width="14.5703125" style="21" customWidth="1"/>
    <col min="6916" max="6916" width="13" style="21" customWidth="1"/>
    <col min="6917" max="6917" width="14" style="21" customWidth="1"/>
    <col min="6918" max="6919" width="9.140625" style="21"/>
    <col min="6920" max="6920" width="12.85546875" style="21" bestFit="1" customWidth="1"/>
    <col min="6921" max="7168" width="9.140625" style="21"/>
    <col min="7169" max="7169" width="7.140625" style="21" customWidth="1"/>
    <col min="7170" max="7170" width="46.5703125" style="21" customWidth="1"/>
    <col min="7171" max="7171" width="14.5703125" style="21" customWidth="1"/>
    <col min="7172" max="7172" width="13" style="21" customWidth="1"/>
    <col min="7173" max="7173" width="14" style="21" customWidth="1"/>
    <col min="7174" max="7175" width="9.140625" style="21"/>
    <col min="7176" max="7176" width="12.85546875" style="21" bestFit="1" customWidth="1"/>
    <col min="7177" max="7424" width="9.140625" style="21"/>
    <col min="7425" max="7425" width="7.140625" style="21" customWidth="1"/>
    <col min="7426" max="7426" width="46.5703125" style="21" customWidth="1"/>
    <col min="7427" max="7427" width="14.5703125" style="21" customWidth="1"/>
    <col min="7428" max="7428" width="13" style="21" customWidth="1"/>
    <col min="7429" max="7429" width="14" style="21" customWidth="1"/>
    <col min="7430" max="7431" width="9.140625" style="21"/>
    <col min="7432" max="7432" width="12.85546875" style="21" bestFit="1" customWidth="1"/>
    <col min="7433" max="7680" width="9.140625" style="21"/>
    <col min="7681" max="7681" width="7.140625" style="21" customWidth="1"/>
    <col min="7682" max="7682" width="46.5703125" style="21" customWidth="1"/>
    <col min="7683" max="7683" width="14.5703125" style="21" customWidth="1"/>
    <col min="7684" max="7684" width="13" style="21" customWidth="1"/>
    <col min="7685" max="7685" width="14" style="21" customWidth="1"/>
    <col min="7686" max="7687" width="9.140625" style="21"/>
    <col min="7688" max="7688" width="12.85546875" style="21" bestFit="1" customWidth="1"/>
    <col min="7689" max="7936" width="9.140625" style="21"/>
    <col min="7937" max="7937" width="7.140625" style="21" customWidth="1"/>
    <col min="7938" max="7938" width="46.5703125" style="21" customWidth="1"/>
    <col min="7939" max="7939" width="14.5703125" style="21" customWidth="1"/>
    <col min="7940" max="7940" width="13" style="21" customWidth="1"/>
    <col min="7941" max="7941" width="14" style="21" customWidth="1"/>
    <col min="7942" max="7943" width="9.140625" style="21"/>
    <col min="7944" max="7944" width="12.85546875" style="21" bestFit="1" customWidth="1"/>
    <col min="7945" max="8192" width="9.140625" style="21"/>
    <col min="8193" max="8193" width="7.140625" style="21" customWidth="1"/>
    <col min="8194" max="8194" width="46.5703125" style="21" customWidth="1"/>
    <col min="8195" max="8195" width="14.5703125" style="21" customWidth="1"/>
    <col min="8196" max="8196" width="13" style="21" customWidth="1"/>
    <col min="8197" max="8197" width="14" style="21" customWidth="1"/>
    <col min="8198" max="8199" width="9.140625" style="21"/>
    <col min="8200" max="8200" width="12.85546875" style="21" bestFit="1" customWidth="1"/>
    <col min="8201" max="8448" width="9.140625" style="21"/>
    <col min="8449" max="8449" width="7.140625" style="21" customWidth="1"/>
    <col min="8450" max="8450" width="46.5703125" style="21" customWidth="1"/>
    <col min="8451" max="8451" width="14.5703125" style="21" customWidth="1"/>
    <col min="8452" max="8452" width="13" style="21" customWidth="1"/>
    <col min="8453" max="8453" width="14" style="21" customWidth="1"/>
    <col min="8454" max="8455" width="9.140625" style="21"/>
    <col min="8456" max="8456" width="12.85546875" style="21" bestFit="1" customWidth="1"/>
    <col min="8457" max="8704" width="9.140625" style="21"/>
    <col min="8705" max="8705" width="7.140625" style="21" customWidth="1"/>
    <col min="8706" max="8706" width="46.5703125" style="21" customWidth="1"/>
    <col min="8707" max="8707" width="14.5703125" style="21" customWidth="1"/>
    <col min="8708" max="8708" width="13" style="21" customWidth="1"/>
    <col min="8709" max="8709" width="14" style="21" customWidth="1"/>
    <col min="8710" max="8711" width="9.140625" style="21"/>
    <col min="8712" max="8712" width="12.85546875" style="21" bestFit="1" customWidth="1"/>
    <col min="8713" max="8960" width="9.140625" style="21"/>
    <col min="8961" max="8961" width="7.140625" style="21" customWidth="1"/>
    <col min="8962" max="8962" width="46.5703125" style="21" customWidth="1"/>
    <col min="8963" max="8963" width="14.5703125" style="21" customWidth="1"/>
    <col min="8964" max="8964" width="13" style="21" customWidth="1"/>
    <col min="8965" max="8965" width="14" style="21" customWidth="1"/>
    <col min="8966" max="8967" width="9.140625" style="21"/>
    <col min="8968" max="8968" width="12.85546875" style="21" bestFit="1" customWidth="1"/>
    <col min="8969" max="9216" width="9.140625" style="21"/>
    <col min="9217" max="9217" width="7.140625" style="21" customWidth="1"/>
    <col min="9218" max="9218" width="46.5703125" style="21" customWidth="1"/>
    <col min="9219" max="9219" width="14.5703125" style="21" customWidth="1"/>
    <col min="9220" max="9220" width="13" style="21" customWidth="1"/>
    <col min="9221" max="9221" width="14" style="21" customWidth="1"/>
    <col min="9222" max="9223" width="9.140625" style="21"/>
    <col min="9224" max="9224" width="12.85546875" style="21" bestFit="1" customWidth="1"/>
    <col min="9225" max="9472" width="9.140625" style="21"/>
    <col min="9473" max="9473" width="7.140625" style="21" customWidth="1"/>
    <col min="9474" max="9474" width="46.5703125" style="21" customWidth="1"/>
    <col min="9475" max="9475" width="14.5703125" style="21" customWidth="1"/>
    <col min="9476" max="9476" width="13" style="21" customWidth="1"/>
    <col min="9477" max="9477" width="14" style="21" customWidth="1"/>
    <col min="9478" max="9479" width="9.140625" style="21"/>
    <col min="9480" max="9480" width="12.85546875" style="21" bestFit="1" customWidth="1"/>
    <col min="9481" max="9728" width="9.140625" style="21"/>
    <col min="9729" max="9729" width="7.140625" style="21" customWidth="1"/>
    <col min="9730" max="9730" width="46.5703125" style="21" customWidth="1"/>
    <col min="9731" max="9731" width="14.5703125" style="21" customWidth="1"/>
    <col min="9732" max="9732" width="13" style="21" customWidth="1"/>
    <col min="9733" max="9733" width="14" style="21" customWidth="1"/>
    <col min="9734" max="9735" width="9.140625" style="21"/>
    <col min="9736" max="9736" width="12.85546875" style="21" bestFit="1" customWidth="1"/>
    <col min="9737" max="9984" width="9.140625" style="21"/>
    <col min="9985" max="9985" width="7.140625" style="21" customWidth="1"/>
    <col min="9986" max="9986" width="46.5703125" style="21" customWidth="1"/>
    <col min="9987" max="9987" width="14.5703125" style="21" customWidth="1"/>
    <col min="9988" max="9988" width="13" style="21" customWidth="1"/>
    <col min="9989" max="9989" width="14" style="21" customWidth="1"/>
    <col min="9990" max="9991" width="9.140625" style="21"/>
    <col min="9992" max="9992" width="12.85546875" style="21" bestFit="1" customWidth="1"/>
    <col min="9993" max="10240" width="9.140625" style="21"/>
    <col min="10241" max="10241" width="7.140625" style="21" customWidth="1"/>
    <col min="10242" max="10242" width="46.5703125" style="21" customWidth="1"/>
    <col min="10243" max="10243" width="14.5703125" style="21" customWidth="1"/>
    <col min="10244" max="10244" width="13" style="21" customWidth="1"/>
    <col min="10245" max="10245" width="14" style="21" customWidth="1"/>
    <col min="10246" max="10247" width="9.140625" style="21"/>
    <col min="10248" max="10248" width="12.85546875" style="21" bestFit="1" customWidth="1"/>
    <col min="10249" max="10496" width="9.140625" style="21"/>
    <col min="10497" max="10497" width="7.140625" style="21" customWidth="1"/>
    <col min="10498" max="10498" width="46.5703125" style="21" customWidth="1"/>
    <col min="10499" max="10499" width="14.5703125" style="21" customWidth="1"/>
    <col min="10500" max="10500" width="13" style="21" customWidth="1"/>
    <col min="10501" max="10501" width="14" style="21" customWidth="1"/>
    <col min="10502" max="10503" width="9.140625" style="21"/>
    <col min="10504" max="10504" width="12.85546875" style="21" bestFit="1" customWidth="1"/>
    <col min="10505" max="10752" width="9.140625" style="21"/>
    <col min="10753" max="10753" width="7.140625" style="21" customWidth="1"/>
    <col min="10754" max="10754" width="46.5703125" style="21" customWidth="1"/>
    <col min="10755" max="10755" width="14.5703125" style="21" customWidth="1"/>
    <col min="10756" max="10756" width="13" style="21" customWidth="1"/>
    <col min="10757" max="10757" width="14" style="21" customWidth="1"/>
    <col min="10758" max="10759" width="9.140625" style="21"/>
    <col min="10760" max="10760" width="12.85546875" style="21" bestFit="1" customWidth="1"/>
    <col min="10761" max="11008" width="9.140625" style="21"/>
    <col min="11009" max="11009" width="7.140625" style="21" customWidth="1"/>
    <col min="11010" max="11010" width="46.5703125" style="21" customWidth="1"/>
    <col min="11011" max="11011" width="14.5703125" style="21" customWidth="1"/>
    <col min="11012" max="11012" width="13" style="21" customWidth="1"/>
    <col min="11013" max="11013" width="14" style="21" customWidth="1"/>
    <col min="11014" max="11015" width="9.140625" style="21"/>
    <col min="11016" max="11016" width="12.85546875" style="21" bestFit="1" customWidth="1"/>
    <col min="11017" max="11264" width="9.140625" style="21"/>
    <col min="11265" max="11265" width="7.140625" style="21" customWidth="1"/>
    <col min="11266" max="11266" width="46.5703125" style="21" customWidth="1"/>
    <col min="11267" max="11267" width="14.5703125" style="21" customWidth="1"/>
    <col min="11268" max="11268" width="13" style="21" customWidth="1"/>
    <col min="11269" max="11269" width="14" style="21" customWidth="1"/>
    <col min="11270" max="11271" width="9.140625" style="21"/>
    <col min="11272" max="11272" width="12.85546875" style="21" bestFit="1" customWidth="1"/>
    <col min="11273" max="11520" width="9.140625" style="21"/>
    <col min="11521" max="11521" width="7.140625" style="21" customWidth="1"/>
    <col min="11522" max="11522" width="46.5703125" style="21" customWidth="1"/>
    <col min="11523" max="11523" width="14.5703125" style="21" customWidth="1"/>
    <col min="11524" max="11524" width="13" style="21" customWidth="1"/>
    <col min="11525" max="11525" width="14" style="21" customWidth="1"/>
    <col min="11526" max="11527" width="9.140625" style="21"/>
    <col min="11528" max="11528" width="12.85546875" style="21" bestFit="1" customWidth="1"/>
    <col min="11529" max="11776" width="9.140625" style="21"/>
    <col min="11777" max="11777" width="7.140625" style="21" customWidth="1"/>
    <col min="11778" max="11778" width="46.5703125" style="21" customWidth="1"/>
    <col min="11779" max="11779" width="14.5703125" style="21" customWidth="1"/>
    <col min="11780" max="11780" width="13" style="21" customWidth="1"/>
    <col min="11781" max="11781" width="14" style="21" customWidth="1"/>
    <col min="11782" max="11783" width="9.140625" style="21"/>
    <col min="11784" max="11784" width="12.85546875" style="21" bestFit="1" customWidth="1"/>
    <col min="11785" max="12032" width="9.140625" style="21"/>
    <col min="12033" max="12033" width="7.140625" style="21" customWidth="1"/>
    <col min="12034" max="12034" width="46.5703125" style="21" customWidth="1"/>
    <col min="12035" max="12035" width="14.5703125" style="21" customWidth="1"/>
    <col min="12036" max="12036" width="13" style="21" customWidth="1"/>
    <col min="12037" max="12037" width="14" style="21" customWidth="1"/>
    <col min="12038" max="12039" width="9.140625" style="21"/>
    <col min="12040" max="12040" width="12.85546875" style="21" bestFit="1" customWidth="1"/>
    <col min="12041" max="12288" width="9.140625" style="21"/>
    <col min="12289" max="12289" width="7.140625" style="21" customWidth="1"/>
    <col min="12290" max="12290" width="46.5703125" style="21" customWidth="1"/>
    <col min="12291" max="12291" width="14.5703125" style="21" customWidth="1"/>
    <col min="12292" max="12292" width="13" style="21" customWidth="1"/>
    <col min="12293" max="12293" width="14" style="21" customWidth="1"/>
    <col min="12294" max="12295" width="9.140625" style="21"/>
    <col min="12296" max="12296" width="12.85546875" style="21" bestFit="1" customWidth="1"/>
    <col min="12297" max="12544" width="9.140625" style="21"/>
    <col min="12545" max="12545" width="7.140625" style="21" customWidth="1"/>
    <col min="12546" max="12546" width="46.5703125" style="21" customWidth="1"/>
    <col min="12547" max="12547" width="14.5703125" style="21" customWidth="1"/>
    <col min="12548" max="12548" width="13" style="21" customWidth="1"/>
    <col min="12549" max="12549" width="14" style="21" customWidth="1"/>
    <col min="12550" max="12551" width="9.140625" style="21"/>
    <col min="12552" max="12552" width="12.85546875" style="21" bestFit="1" customWidth="1"/>
    <col min="12553" max="12800" width="9.140625" style="21"/>
    <col min="12801" max="12801" width="7.140625" style="21" customWidth="1"/>
    <col min="12802" max="12802" width="46.5703125" style="21" customWidth="1"/>
    <col min="12803" max="12803" width="14.5703125" style="21" customWidth="1"/>
    <col min="12804" max="12804" width="13" style="21" customWidth="1"/>
    <col min="12805" max="12805" width="14" style="21" customWidth="1"/>
    <col min="12806" max="12807" width="9.140625" style="21"/>
    <col min="12808" max="12808" width="12.85546875" style="21" bestFit="1" customWidth="1"/>
    <col min="12809" max="13056" width="9.140625" style="21"/>
    <col min="13057" max="13057" width="7.140625" style="21" customWidth="1"/>
    <col min="13058" max="13058" width="46.5703125" style="21" customWidth="1"/>
    <col min="13059" max="13059" width="14.5703125" style="21" customWidth="1"/>
    <col min="13060" max="13060" width="13" style="21" customWidth="1"/>
    <col min="13061" max="13061" width="14" style="21" customWidth="1"/>
    <col min="13062" max="13063" width="9.140625" style="21"/>
    <col min="13064" max="13064" width="12.85546875" style="21" bestFit="1" customWidth="1"/>
    <col min="13065" max="13312" width="9.140625" style="21"/>
    <col min="13313" max="13313" width="7.140625" style="21" customWidth="1"/>
    <col min="13314" max="13314" width="46.5703125" style="21" customWidth="1"/>
    <col min="13315" max="13315" width="14.5703125" style="21" customWidth="1"/>
    <col min="13316" max="13316" width="13" style="21" customWidth="1"/>
    <col min="13317" max="13317" width="14" style="21" customWidth="1"/>
    <col min="13318" max="13319" width="9.140625" style="21"/>
    <col min="13320" max="13320" width="12.85546875" style="21" bestFit="1" customWidth="1"/>
    <col min="13321" max="13568" width="9.140625" style="21"/>
    <col min="13569" max="13569" width="7.140625" style="21" customWidth="1"/>
    <col min="13570" max="13570" width="46.5703125" style="21" customWidth="1"/>
    <col min="13571" max="13571" width="14.5703125" style="21" customWidth="1"/>
    <col min="13572" max="13572" width="13" style="21" customWidth="1"/>
    <col min="13573" max="13573" width="14" style="21" customWidth="1"/>
    <col min="13574" max="13575" width="9.140625" style="21"/>
    <col min="13576" max="13576" width="12.85546875" style="21" bestFit="1" customWidth="1"/>
    <col min="13577" max="13824" width="9.140625" style="21"/>
    <col min="13825" max="13825" width="7.140625" style="21" customWidth="1"/>
    <col min="13826" max="13826" width="46.5703125" style="21" customWidth="1"/>
    <col min="13827" max="13827" width="14.5703125" style="21" customWidth="1"/>
    <col min="13828" max="13828" width="13" style="21" customWidth="1"/>
    <col min="13829" max="13829" width="14" style="21" customWidth="1"/>
    <col min="13830" max="13831" width="9.140625" style="21"/>
    <col min="13832" max="13832" width="12.85546875" style="21" bestFit="1" customWidth="1"/>
    <col min="13833" max="14080" width="9.140625" style="21"/>
    <col min="14081" max="14081" width="7.140625" style="21" customWidth="1"/>
    <col min="14082" max="14082" width="46.5703125" style="21" customWidth="1"/>
    <col min="14083" max="14083" width="14.5703125" style="21" customWidth="1"/>
    <col min="14084" max="14084" width="13" style="21" customWidth="1"/>
    <col min="14085" max="14085" width="14" style="21" customWidth="1"/>
    <col min="14086" max="14087" width="9.140625" style="21"/>
    <col min="14088" max="14088" width="12.85546875" style="21" bestFit="1" customWidth="1"/>
    <col min="14089" max="14336" width="9.140625" style="21"/>
    <col min="14337" max="14337" width="7.140625" style="21" customWidth="1"/>
    <col min="14338" max="14338" width="46.5703125" style="21" customWidth="1"/>
    <col min="14339" max="14339" width="14.5703125" style="21" customWidth="1"/>
    <col min="14340" max="14340" width="13" style="21" customWidth="1"/>
    <col min="14341" max="14341" width="14" style="21" customWidth="1"/>
    <col min="14342" max="14343" width="9.140625" style="21"/>
    <col min="14344" max="14344" width="12.85546875" style="21" bestFit="1" customWidth="1"/>
    <col min="14345" max="14592" width="9.140625" style="21"/>
    <col min="14593" max="14593" width="7.140625" style="21" customWidth="1"/>
    <col min="14594" max="14594" width="46.5703125" style="21" customWidth="1"/>
    <col min="14595" max="14595" width="14.5703125" style="21" customWidth="1"/>
    <col min="14596" max="14596" width="13" style="21" customWidth="1"/>
    <col min="14597" max="14597" width="14" style="21" customWidth="1"/>
    <col min="14598" max="14599" width="9.140625" style="21"/>
    <col min="14600" max="14600" width="12.85546875" style="21" bestFit="1" customWidth="1"/>
    <col min="14601" max="14848" width="9.140625" style="21"/>
    <col min="14849" max="14849" width="7.140625" style="21" customWidth="1"/>
    <col min="14850" max="14850" width="46.5703125" style="21" customWidth="1"/>
    <col min="14851" max="14851" width="14.5703125" style="21" customWidth="1"/>
    <col min="14852" max="14852" width="13" style="21" customWidth="1"/>
    <col min="14853" max="14853" width="14" style="21" customWidth="1"/>
    <col min="14854" max="14855" width="9.140625" style="21"/>
    <col min="14856" max="14856" width="12.85546875" style="21" bestFit="1" customWidth="1"/>
    <col min="14857" max="15104" width="9.140625" style="21"/>
    <col min="15105" max="15105" width="7.140625" style="21" customWidth="1"/>
    <col min="15106" max="15106" width="46.5703125" style="21" customWidth="1"/>
    <col min="15107" max="15107" width="14.5703125" style="21" customWidth="1"/>
    <col min="15108" max="15108" width="13" style="21" customWidth="1"/>
    <col min="15109" max="15109" width="14" style="21" customWidth="1"/>
    <col min="15110" max="15111" width="9.140625" style="21"/>
    <col min="15112" max="15112" width="12.85546875" style="21" bestFit="1" customWidth="1"/>
    <col min="15113" max="15360" width="9.140625" style="21"/>
    <col min="15361" max="15361" width="7.140625" style="21" customWidth="1"/>
    <col min="15362" max="15362" width="46.5703125" style="21" customWidth="1"/>
    <col min="15363" max="15363" width="14.5703125" style="21" customWidth="1"/>
    <col min="15364" max="15364" width="13" style="21" customWidth="1"/>
    <col min="15365" max="15365" width="14" style="21" customWidth="1"/>
    <col min="15366" max="15367" width="9.140625" style="21"/>
    <col min="15368" max="15368" width="12.85546875" style="21" bestFit="1" customWidth="1"/>
    <col min="15369" max="15616" width="9.140625" style="21"/>
    <col min="15617" max="15617" width="7.140625" style="21" customWidth="1"/>
    <col min="15618" max="15618" width="46.5703125" style="21" customWidth="1"/>
    <col min="15619" max="15619" width="14.5703125" style="21" customWidth="1"/>
    <col min="15620" max="15620" width="13" style="21" customWidth="1"/>
    <col min="15621" max="15621" width="14" style="21" customWidth="1"/>
    <col min="15622" max="15623" width="9.140625" style="21"/>
    <col min="15624" max="15624" width="12.85546875" style="21" bestFit="1" customWidth="1"/>
    <col min="15625" max="15872" width="9.140625" style="21"/>
    <col min="15873" max="15873" width="7.140625" style="21" customWidth="1"/>
    <col min="15874" max="15874" width="46.5703125" style="21" customWidth="1"/>
    <col min="15875" max="15875" width="14.5703125" style="21" customWidth="1"/>
    <col min="15876" max="15876" width="13" style="21" customWidth="1"/>
    <col min="15877" max="15877" width="14" style="21" customWidth="1"/>
    <col min="15878" max="15879" width="9.140625" style="21"/>
    <col min="15880" max="15880" width="12.85546875" style="21" bestFit="1" customWidth="1"/>
    <col min="15881" max="16128" width="9.140625" style="21"/>
    <col min="16129" max="16129" width="7.140625" style="21" customWidth="1"/>
    <col min="16130" max="16130" width="46.5703125" style="21" customWidth="1"/>
    <col min="16131" max="16131" width="14.5703125" style="21" customWidth="1"/>
    <col min="16132" max="16132" width="13" style="21" customWidth="1"/>
    <col min="16133" max="16133" width="14" style="21" customWidth="1"/>
    <col min="16134" max="16135" width="9.140625" style="21"/>
    <col min="16136" max="16136" width="12.85546875" style="21" bestFit="1" customWidth="1"/>
    <col min="16137" max="16384" width="9.140625" style="21"/>
  </cols>
  <sheetData>
    <row r="1" spans="1:8" ht="25.5" customHeight="1">
      <c r="A1" s="429" t="s">
        <v>69</v>
      </c>
      <c r="B1" s="429"/>
      <c r="C1" s="429"/>
      <c r="D1" s="429"/>
      <c r="E1" s="429"/>
      <c r="F1" s="429"/>
      <c r="G1" s="429"/>
      <c r="H1" s="52"/>
    </row>
    <row r="3" spans="1:8" ht="30">
      <c r="A3" s="25" t="s">
        <v>40</v>
      </c>
      <c r="B3" s="35" t="s">
        <v>41</v>
      </c>
      <c r="C3" s="25" t="s">
        <v>42</v>
      </c>
      <c r="D3" s="25" t="s">
        <v>43</v>
      </c>
      <c r="E3" s="25" t="s">
        <v>44</v>
      </c>
      <c r="F3" s="25" t="s">
        <v>45</v>
      </c>
      <c r="G3" s="25" t="s">
        <v>46</v>
      </c>
    </row>
    <row r="4" spans="1:8">
      <c r="A4" s="33">
        <v>1</v>
      </c>
      <c r="B4" s="34" t="s">
        <v>47</v>
      </c>
      <c r="C4" s="33">
        <v>16</v>
      </c>
      <c r="D4" s="43">
        <v>3805</v>
      </c>
      <c r="E4" s="33">
        <v>1</v>
      </c>
      <c r="F4" s="46">
        <f>E4*D4</f>
        <v>3805</v>
      </c>
      <c r="G4" s="46">
        <f>F4*12</f>
        <v>45660</v>
      </c>
    </row>
    <row r="5" spans="1:8">
      <c r="A5" s="33"/>
      <c r="B5" s="34"/>
      <c r="C5" s="33"/>
      <c r="D5" s="33"/>
      <c r="E5" s="33"/>
      <c r="F5" s="33"/>
      <c r="G5" s="33"/>
    </row>
    <row r="6" spans="1:8">
      <c r="A6" s="33">
        <v>2</v>
      </c>
      <c r="B6" s="34" t="s">
        <v>48</v>
      </c>
      <c r="C6" s="33">
        <v>14</v>
      </c>
      <c r="D6" s="43">
        <v>3100</v>
      </c>
      <c r="E6" s="33">
        <v>2</v>
      </c>
      <c r="F6" s="46">
        <f>E6*D6</f>
        <v>6200</v>
      </c>
      <c r="G6" s="46">
        <f>F6*12</f>
        <v>74400</v>
      </c>
    </row>
    <row r="7" spans="1:8">
      <c r="A7" s="33"/>
      <c r="B7" s="34"/>
      <c r="C7" s="33"/>
      <c r="D7" s="33"/>
      <c r="E7" s="33"/>
      <c r="F7" s="33"/>
      <c r="G7" s="33"/>
    </row>
    <row r="8" spans="1:8">
      <c r="A8" s="33">
        <v>3</v>
      </c>
      <c r="B8" s="34" t="s">
        <v>49</v>
      </c>
      <c r="C8" s="33">
        <v>14</v>
      </c>
      <c r="D8" s="33">
        <v>3100</v>
      </c>
      <c r="E8" s="33">
        <v>1</v>
      </c>
      <c r="F8" s="46">
        <f>E8*D8</f>
        <v>3100</v>
      </c>
      <c r="G8" s="46">
        <f>F8*12</f>
        <v>37200</v>
      </c>
    </row>
    <row r="9" spans="1:8">
      <c r="A9" s="33"/>
      <c r="B9" s="34"/>
      <c r="C9" s="33"/>
      <c r="D9" s="33"/>
      <c r="E9" s="33"/>
      <c r="F9" s="33"/>
      <c r="G9" s="33"/>
    </row>
    <row r="10" spans="1:8">
      <c r="A10" s="33">
        <v>4</v>
      </c>
      <c r="B10" s="34" t="s">
        <v>50</v>
      </c>
      <c r="C10" s="33">
        <v>1</v>
      </c>
      <c r="D10" s="33">
        <v>1870</v>
      </c>
      <c r="E10" s="33">
        <v>1</v>
      </c>
      <c r="F10" s="46">
        <f>E10*D10</f>
        <v>1870</v>
      </c>
      <c r="G10" s="46">
        <f>F10*12</f>
        <v>22440</v>
      </c>
    </row>
    <row r="11" spans="1:8">
      <c r="A11" s="33"/>
      <c r="B11" s="34"/>
      <c r="C11" s="33"/>
      <c r="D11" s="33"/>
      <c r="E11" s="33"/>
      <c r="F11" s="33"/>
      <c r="G11" s="33"/>
    </row>
    <row r="12" spans="1:8">
      <c r="A12" s="33">
        <v>5</v>
      </c>
      <c r="B12" s="34" t="s">
        <v>51</v>
      </c>
      <c r="C12" s="33">
        <v>1</v>
      </c>
      <c r="D12" s="33">
        <v>1870</v>
      </c>
      <c r="E12" s="33">
        <v>1</v>
      </c>
      <c r="F12" s="46">
        <f>E12*D12</f>
        <v>1870</v>
      </c>
      <c r="G12" s="46">
        <f>F12*12</f>
        <v>22440</v>
      </c>
    </row>
    <row r="13" spans="1:8">
      <c r="A13" s="33"/>
      <c r="B13" s="34"/>
      <c r="C13" s="33"/>
      <c r="D13" s="33"/>
      <c r="E13" s="33"/>
      <c r="F13" s="33"/>
      <c r="G13" s="33"/>
    </row>
    <row r="14" spans="1:8" ht="15">
      <c r="A14" s="33"/>
      <c r="B14" s="34"/>
      <c r="C14" s="33"/>
      <c r="D14" s="33"/>
      <c r="E14" s="25"/>
      <c r="F14" s="25" t="s">
        <v>52</v>
      </c>
      <c r="G14" s="44">
        <f>SUM(G4:G13)</f>
        <v>202140</v>
      </c>
    </row>
    <row r="15" spans="1:8" ht="15">
      <c r="A15" s="41"/>
      <c r="B15" s="37"/>
      <c r="C15" s="38"/>
      <c r="D15" s="38"/>
      <c r="E15" s="49"/>
      <c r="F15" s="49"/>
      <c r="G15" s="50"/>
    </row>
    <row r="16" spans="1:8" ht="15">
      <c r="A16" s="41"/>
      <c r="B16" s="31"/>
      <c r="C16" s="41"/>
      <c r="D16" s="41"/>
      <c r="E16" s="28"/>
      <c r="F16" s="28"/>
      <c r="G16" s="51"/>
    </row>
    <row r="17" spans="1:12" ht="26.25" customHeight="1">
      <c r="A17" s="429" t="s">
        <v>70</v>
      </c>
      <c r="B17" s="429"/>
      <c r="C17" s="429"/>
      <c r="D17" s="429"/>
      <c r="E17" s="429"/>
      <c r="F17" s="429"/>
      <c r="G17" s="429"/>
      <c r="H17" s="429"/>
      <c r="I17" s="429"/>
      <c r="J17" s="429"/>
      <c r="K17" s="429"/>
    </row>
    <row r="18" spans="1:12">
      <c r="B18" s="31"/>
      <c r="C18" s="41"/>
      <c r="D18" s="41"/>
      <c r="E18" s="41"/>
      <c r="F18" s="41"/>
      <c r="G18" s="41"/>
    </row>
    <row r="19" spans="1:12" ht="15">
      <c r="A19" s="27"/>
      <c r="B19" s="39"/>
      <c r="C19" s="40"/>
      <c r="D19" s="40"/>
      <c r="E19" s="40"/>
      <c r="F19" s="40"/>
      <c r="G19" s="40"/>
      <c r="H19" s="27"/>
      <c r="I19" s="27"/>
      <c r="J19" s="27"/>
      <c r="K19" s="27"/>
    </row>
    <row r="20" spans="1:12" ht="45">
      <c r="A20" s="25" t="s">
        <v>53</v>
      </c>
      <c r="B20" s="35" t="s">
        <v>54</v>
      </c>
      <c r="C20" s="25" t="s">
        <v>55</v>
      </c>
      <c r="D20" s="25" t="s">
        <v>56</v>
      </c>
      <c r="E20" s="25" t="s">
        <v>57</v>
      </c>
      <c r="F20" s="25" t="s">
        <v>58</v>
      </c>
      <c r="G20" s="25" t="s">
        <v>61</v>
      </c>
      <c r="H20" s="25" t="s">
        <v>59</v>
      </c>
      <c r="I20" s="25" t="s">
        <v>60</v>
      </c>
      <c r="J20" s="25" t="s">
        <v>62</v>
      </c>
      <c r="K20" s="26" t="s">
        <v>46</v>
      </c>
      <c r="L20" s="36"/>
    </row>
    <row r="21" spans="1:12">
      <c r="A21" s="33">
        <v>1</v>
      </c>
      <c r="B21" s="34" t="s">
        <v>63</v>
      </c>
      <c r="C21" s="33">
        <v>16</v>
      </c>
      <c r="D21" s="33">
        <v>1</v>
      </c>
      <c r="E21" s="43">
        <v>563</v>
      </c>
      <c r="F21" s="43">
        <v>210</v>
      </c>
      <c r="G21" s="43">
        <v>1142</v>
      </c>
      <c r="H21" s="43" t="s">
        <v>64</v>
      </c>
      <c r="I21" s="43">
        <v>634</v>
      </c>
      <c r="J21" s="43">
        <f>SUM(E21:I21)</f>
        <v>2549</v>
      </c>
      <c r="K21" s="53">
        <f>J21*12</f>
        <v>30588</v>
      </c>
      <c r="L21" s="36"/>
    </row>
    <row r="22" spans="1:12">
      <c r="A22" s="33"/>
      <c r="B22" s="34"/>
      <c r="C22" s="33"/>
      <c r="D22" s="33"/>
      <c r="E22" s="43"/>
      <c r="F22" s="43"/>
      <c r="G22" s="43"/>
      <c r="H22" s="43"/>
      <c r="I22" s="43"/>
      <c r="J22" s="43"/>
      <c r="K22" s="53"/>
      <c r="L22" s="36"/>
    </row>
    <row r="23" spans="1:12">
      <c r="A23" s="33">
        <v>2</v>
      </c>
      <c r="B23" s="34" t="s">
        <v>65</v>
      </c>
      <c r="C23" s="33">
        <v>14</v>
      </c>
      <c r="D23" s="33">
        <v>3</v>
      </c>
      <c r="E23" s="43">
        <v>459</v>
      </c>
      <c r="F23" s="43">
        <v>210</v>
      </c>
      <c r="G23" s="43">
        <v>930</v>
      </c>
      <c r="H23" s="43" t="s">
        <v>64</v>
      </c>
      <c r="I23" s="43">
        <v>516</v>
      </c>
      <c r="J23" s="43">
        <f>SUM(E23:I23)</f>
        <v>2115</v>
      </c>
      <c r="K23" s="53">
        <f>J23*12</f>
        <v>25380</v>
      </c>
      <c r="L23" s="36"/>
    </row>
    <row r="24" spans="1:12">
      <c r="A24" s="33"/>
      <c r="B24" s="34"/>
      <c r="C24" s="33"/>
      <c r="D24" s="33"/>
      <c r="E24" s="43"/>
      <c r="F24" s="43"/>
      <c r="G24" s="43"/>
      <c r="H24" s="43"/>
      <c r="I24" s="43"/>
      <c r="J24" s="43"/>
      <c r="K24" s="53"/>
      <c r="L24" s="36"/>
    </row>
    <row r="25" spans="1:12">
      <c r="A25" s="33">
        <v>1</v>
      </c>
      <c r="B25" s="34" t="s">
        <v>66</v>
      </c>
      <c r="C25" s="33">
        <v>1</v>
      </c>
      <c r="D25" s="33">
        <v>1</v>
      </c>
      <c r="E25" s="43">
        <v>276</v>
      </c>
      <c r="F25" s="43">
        <v>210</v>
      </c>
      <c r="G25" s="43">
        <v>561</v>
      </c>
      <c r="H25" s="43">
        <v>30</v>
      </c>
      <c r="I25" s="43">
        <v>311</v>
      </c>
      <c r="J25" s="43">
        <f>SUM(E25:I25)</f>
        <v>1388</v>
      </c>
      <c r="K25" s="53">
        <f>J25*12</f>
        <v>16656</v>
      </c>
      <c r="L25" s="36"/>
    </row>
    <row r="26" spans="1:12">
      <c r="A26" s="33"/>
      <c r="B26" s="34"/>
      <c r="C26" s="33"/>
      <c r="D26" s="33"/>
      <c r="E26" s="43"/>
      <c r="F26" s="43"/>
      <c r="G26" s="43"/>
      <c r="H26" s="43"/>
      <c r="I26" s="43"/>
      <c r="J26" s="43"/>
      <c r="K26" s="53"/>
      <c r="L26" s="36"/>
    </row>
    <row r="27" spans="1:12">
      <c r="A27" s="33">
        <v>2</v>
      </c>
      <c r="B27" s="34" t="s">
        <v>67</v>
      </c>
      <c r="C27" s="33">
        <v>1</v>
      </c>
      <c r="D27" s="33">
        <v>1</v>
      </c>
      <c r="E27" s="43">
        <v>276</v>
      </c>
      <c r="F27" s="43">
        <v>210</v>
      </c>
      <c r="G27" s="43">
        <v>561</v>
      </c>
      <c r="H27" s="43">
        <v>30</v>
      </c>
      <c r="I27" s="43">
        <v>311</v>
      </c>
      <c r="J27" s="43">
        <f>SUM(E27:I27)</f>
        <v>1388</v>
      </c>
      <c r="K27" s="53">
        <f>J27*12</f>
        <v>16656</v>
      </c>
      <c r="L27" s="36"/>
    </row>
    <row r="28" spans="1:12">
      <c r="A28" s="33"/>
      <c r="B28" s="34"/>
      <c r="C28" s="33"/>
      <c r="D28" s="33"/>
      <c r="E28" s="43"/>
      <c r="F28" s="43"/>
      <c r="G28" s="43"/>
      <c r="H28" s="43"/>
      <c r="I28" s="43"/>
      <c r="J28" s="43"/>
      <c r="K28" s="53"/>
      <c r="L28" s="36"/>
    </row>
    <row r="29" spans="1:12" ht="15">
      <c r="A29" s="33"/>
      <c r="B29" s="34"/>
      <c r="C29" s="33"/>
      <c r="D29" s="33"/>
      <c r="E29" s="43"/>
      <c r="F29" s="43"/>
      <c r="G29" s="43"/>
      <c r="H29" s="43"/>
      <c r="I29" s="43"/>
      <c r="J29" s="45" t="s">
        <v>52</v>
      </c>
      <c r="K29" s="54">
        <f>SUM(K21:K28)</f>
        <v>89280</v>
      </c>
      <c r="L29" s="36"/>
    </row>
    <row r="30" spans="1:12">
      <c r="A30" s="33"/>
      <c r="B30" s="34"/>
      <c r="C30" s="33"/>
      <c r="D30" s="33"/>
      <c r="E30" s="43"/>
      <c r="F30" s="43"/>
      <c r="G30" s="43"/>
      <c r="H30" s="43"/>
      <c r="I30" s="43"/>
      <c r="J30" s="43"/>
      <c r="K30" s="53"/>
      <c r="L30" s="36"/>
    </row>
    <row r="31" spans="1:12" ht="15">
      <c r="A31" s="33"/>
      <c r="B31" s="34"/>
      <c r="C31" s="33"/>
      <c r="D31" s="33"/>
      <c r="E31" s="43"/>
      <c r="F31" s="43"/>
      <c r="G31" s="43"/>
      <c r="H31" s="43"/>
      <c r="I31" s="43"/>
      <c r="J31" s="45" t="s">
        <v>68</v>
      </c>
      <c r="K31" s="54">
        <f>K29+G14</f>
        <v>291420</v>
      </c>
      <c r="L31" s="36"/>
    </row>
  </sheetData>
  <mergeCells count="2">
    <mergeCell ref="A1:G1"/>
    <mergeCell ref="A17:K17"/>
  </mergeCells>
  <printOptions horizontalCentered="1"/>
  <pageMargins left="0.25" right="0.25" top="0.5" bottom="0.25" header="0.5" footer="0.5"/>
  <pageSetup scale="80" orientation="portrait" r:id="rId1"/>
  <headerFooter alignWithMargins="0"/>
</worksheet>
</file>

<file path=xl/worksheets/sheet7.xml><?xml version="1.0" encoding="utf-8"?>
<worksheet xmlns="http://schemas.openxmlformats.org/spreadsheetml/2006/main" xmlns:r="http://schemas.openxmlformats.org/officeDocument/2006/relationships">
  <dimension ref="A1:G29"/>
  <sheetViews>
    <sheetView workbookViewId="0">
      <selection activeCell="D14" sqref="D14"/>
    </sheetView>
  </sheetViews>
  <sheetFormatPr defaultColWidth="9.140625" defaultRowHeight="12.75"/>
  <cols>
    <col min="1" max="1" width="7.42578125" style="20" customWidth="1"/>
    <col min="2" max="2" width="45" style="1" customWidth="1"/>
    <col min="3" max="3" width="15.42578125" style="1" customWidth="1"/>
    <col min="4" max="4" width="32.85546875" style="1" customWidth="1"/>
    <col min="5" max="5" width="9.140625" style="1"/>
    <col min="6" max="6" width="14" style="1" bestFit="1" customWidth="1"/>
    <col min="7" max="7" width="9.140625" style="1"/>
    <col min="8" max="8" width="14" style="1" customWidth="1"/>
    <col min="9" max="16384" width="9.140625" style="1"/>
  </cols>
  <sheetData>
    <row r="1" spans="1:4" ht="35.450000000000003" customHeight="1">
      <c r="A1" s="426" t="s">
        <v>73</v>
      </c>
      <c r="B1" s="426"/>
      <c r="C1" s="426"/>
      <c r="D1" s="426"/>
    </row>
    <row r="2" spans="1:4" ht="48" customHeight="1" thickBot="1">
      <c r="A2" s="430" t="s">
        <v>110</v>
      </c>
      <c r="B2" s="430"/>
      <c r="C2" s="430"/>
      <c r="D2" s="430"/>
    </row>
    <row r="3" spans="1:4" ht="18.75" customHeight="1" thickBot="1">
      <c r="A3" s="123"/>
      <c r="B3" s="123"/>
      <c r="C3" s="123"/>
      <c r="D3" s="123"/>
    </row>
    <row r="4" spans="1:4" s="5" customFormat="1" ht="20.25" customHeight="1" thickBot="1">
      <c r="A4" s="4" t="s">
        <v>1</v>
      </c>
      <c r="B4" s="431" t="s">
        <v>2</v>
      </c>
      <c r="C4" s="432"/>
      <c r="D4" s="4" t="s">
        <v>18</v>
      </c>
    </row>
    <row r="5" spans="1:4" s="5" customFormat="1" ht="15">
      <c r="A5" s="6"/>
      <c r="B5" s="6"/>
      <c r="C5" s="6"/>
      <c r="D5" s="6"/>
    </row>
    <row r="6" spans="1:4" s="5" customFormat="1" ht="15">
      <c r="A6" s="7"/>
      <c r="B6" s="8"/>
      <c r="C6" s="8"/>
      <c r="D6" s="9"/>
    </row>
    <row r="7" spans="1:4" s="5" customFormat="1" ht="22.5" customHeight="1">
      <c r="A7" s="7">
        <v>1</v>
      </c>
      <c r="B7" s="10" t="s">
        <v>11</v>
      </c>
      <c r="C7" s="10"/>
      <c r="D7" s="89" t="e">
        <f>#REF!</f>
        <v>#REF!</v>
      </c>
    </row>
    <row r="8" spans="1:4" s="5" customFormat="1" ht="21.75" customHeight="1">
      <c r="A8" s="7">
        <v>2</v>
      </c>
      <c r="B8" s="10" t="s">
        <v>99</v>
      </c>
      <c r="C8" s="10"/>
      <c r="D8" s="89" t="e">
        <f>+D7*10%</f>
        <v>#REF!</v>
      </c>
    </row>
    <row r="9" spans="1:4" s="5" customFormat="1" ht="15">
      <c r="A9" s="7"/>
      <c r="B9" s="10"/>
      <c r="C9" s="10"/>
      <c r="D9" s="89"/>
    </row>
    <row r="10" spans="1:4" s="5" customFormat="1" ht="15">
      <c r="A10" s="7"/>
      <c r="B10" s="11" t="s">
        <v>19</v>
      </c>
      <c r="C10" s="11"/>
      <c r="D10" s="90" t="e">
        <f>SUM(D7:D8)</f>
        <v>#REF!</v>
      </c>
    </row>
    <row r="11" spans="1:4" s="5" customFormat="1" ht="15">
      <c r="A11" s="7"/>
      <c r="B11" s="11"/>
      <c r="C11" s="11"/>
      <c r="D11" s="91"/>
    </row>
    <row r="12" spans="1:4" s="5" customFormat="1" ht="15">
      <c r="A12" s="7"/>
      <c r="B12" s="11"/>
      <c r="C12" s="11"/>
      <c r="D12" s="91"/>
    </row>
    <row r="13" spans="1:4" s="5" customFormat="1" ht="15">
      <c r="A13" s="7">
        <v>2</v>
      </c>
      <c r="B13" s="12" t="e">
        <f>#REF!</f>
        <v>#REF!</v>
      </c>
      <c r="C13" s="12"/>
      <c r="D13" s="92" t="e">
        <f>#REF!</f>
        <v>#REF!</v>
      </c>
    </row>
    <row r="14" spans="1:4" s="5" customFormat="1" ht="15">
      <c r="A14" s="7"/>
      <c r="B14" s="12"/>
      <c r="C14" s="12"/>
      <c r="D14" s="92"/>
    </row>
    <row r="15" spans="1:4" s="5" customFormat="1" ht="15">
      <c r="A15" s="7"/>
      <c r="B15" s="13"/>
      <c r="C15" s="13" t="s">
        <v>15</v>
      </c>
      <c r="D15" s="93" t="e">
        <f>SUM(D10:D14)</f>
        <v>#REF!</v>
      </c>
    </row>
    <row r="16" spans="1:4" s="5" customFormat="1" ht="15">
      <c r="A16" s="7"/>
      <c r="B16" s="433" t="s">
        <v>20</v>
      </c>
      <c r="C16" s="434"/>
      <c r="D16" s="116" t="e">
        <f>D15/1000000</f>
        <v>#REF!</v>
      </c>
    </row>
    <row r="17" spans="1:7" s="10" customFormat="1" ht="14.25">
      <c r="A17" s="5"/>
      <c r="D17" s="14"/>
    </row>
    <row r="18" spans="1:7" s="10" customFormat="1" ht="14.25">
      <c r="A18" s="5"/>
      <c r="D18" s="14"/>
    </row>
    <row r="19" spans="1:7" s="18" customFormat="1" ht="44.25" customHeight="1">
      <c r="A19" s="15"/>
      <c r="B19" s="16" t="s">
        <v>21</v>
      </c>
      <c r="C19" s="16" t="s">
        <v>85</v>
      </c>
      <c r="D19" s="16" t="s">
        <v>22</v>
      </c>
      <c r="E19" s="17"/>
      <c r="F19" s="17"/>
      <c r="G19" s="17"/>
    </row>
    <row r="20" spans="1:7" s="18" customFormat="1" ht="38.25" customHeight="1">
      <c r="A20" s="15"/>
      <c r="B20" s="19" t="e">
        <f>D16</f>
        <v>#REF!</v>
      </c>
      <c r="C20" s="16">
        <v>1</v>
      </c>
      <c r="D20" s="19" t="e">
        <f>+B20*C20</f>
        <v>#REF!</v>
      </c>
      <c r="E20" s="17"/>
      <c r="F20" s="17"/>
    </row>
    <row r="26" spans="1:7">
      <c r="B26" s="121" t="s">
        <v>100</v>
      </c>
      <c r="D26" s="121" t="s">
        <v>24</v>
      </c>
    </row>
    <row r="27" spans="1:7">
      <c r="B27" s="121" t="s">
        <v>104</v>
      </c>
      <c r="D27" s="121" t="s">
        <v>103</v>
      </c>
    </row>
    <row r="28" spans="1:7">
      <c r="B28" s="121" t="s">
        <v>102</v>
      </c>
      <c r="D28" s="121" t="s">
        <v>102</v>
      </c>
    </row>
    <row r="29" spans="1:7">
      <c r="D29" s="122"/>
    </row>
  </sheetData>
  <mergeCells count="4">
    <mergeCell ref="A1:D1"/>
    <mergeCell ref="A2:D2"/>
    <mergeCell ref="B4:C4"/>
    <mergeCell ref="B16:C16"/>
  </mergeCells>
  <printOptions horizontalCentered="1"/>
  <pageMargins left="0.25" right="0.25" top="0.25" bottom="0.25" header="0.5" footer="0.5"/>
  <pageSetup scale="85" orientation="portrait" r:id="rId1"/>
  <headerFooter alignWithMargins="0"/>
</worksheet>
</file>

<file path=xl/worksheets/sheet8.xml><?xml version="1.0" encoding="utf-8"?>
<worksheet xmlns="http://schemas.openxmlformats.org/spreadsheetml/2006/main" xmlns:r="http://schemas.openxmlformats.org/officeDocument/2006/relationships">
  <dimension ref="A2:IP26"/>
  <sheetViews>
    <sheetView topLeftCell="A10" workbookViewId="0">
      <selection activeCell="B24" sqref="B24"/>
    </sheetView>
  </sheetViews>
  <sheetFormatPr defaultRowHeight="15.75"/>
  <cols>
    <col min="1" max="1" width="9.140625" style="354"/>
    <col min="2" max="2" width="50" style="354" customWidth="1"/>
    <col min="3" max="3" width="26.28515625" style="354" customWidth="1"/>
    <col min="4" max="4" width="4" style="354" customWidth="1"/>
    <col min="5" max="16384" width="9.140625" style="354"/>
  </cols>
  <sheetData>
    <row r="2" spans="1:250" ht="20.25">
      <c r="A2" s="350" t="s">
        <v>332</v>
      </c>
      <c r="B2" s="351"/>
      <c r="C2" s="352"/>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c r="AL2" s="353"/>
      <c r="AM2" s="353"/>
      <c r="AN2" s="353"/>
      <c r="AO2" s="353"/>
      <c r="AP2" s="353"/>
      <c r="AQ2" s="353"/>
      <c r="AR2" s="353"/>
      <c r="AS2" s="353"/>
      <c r="AT2" s="353"/>
      <c r="AU2" s="353"/>
      <c r="AV2" s="353"/>
      <c r="AW2" s="353"/>
      <c r="AX2" s="353"/>
      <c r="AY2" s="353"/>
      <c r="AZ2" s="353"/>
      <c r="BA2" s="353"/>
      <c r="BB2" s="353"/>
      <c r="BC2" s="353"/>
      <c r="BD2" s="353"/>
      <c r="BE2" s="353"/>
      <c r="BF2" s="353"/>
      <c r="BG2" s="353"/>
      <c r="BH2" s="353"/>
      <c r="BI2" s="353"/>
      <c r="BJ2" s="353"/>
      <c r="BK2" s="353"/>
      <c r="BL2" s="353"/>
      <c r="BM2" s="353"/>
      <c r="BN2" s="353"/>
      <c r="BO2" s="353"/>
      <c r="BP2" s="353"/>
      <c r="BQ2" s="353"/>
      <c r="BR2" s="353"/>
      <c r="BS2" s="353"/>
      <c r="BT2" s="353"/>
      <c r="BU2" s="353"/>
      <c r="BV2" s="353"/>
      <c r="BW2" s="353"/>
      <c r="BX2" s="353"/>
      <c r="BY2" s="353"/>
      <c r="BZ2" s="353"/>
      <c r="CA2" s="353"/>
      <c r="CB2" s="353"/>
      <c r="CC2" s="353"/>
      <c r="CD2" s="353"/>
      <c r="CE2" s="353"/>
      <c r="CF2" s="353"/>
      <c r="CG2" s="353"/>
      <c r="CH2" s="353"/>
      <c r="CI2" s="353"/>
      <c r="CJ2" s="353"/>
      <c r="CK2" s="353"/>
      <c r="CL2" s="353"/>
      <c r="CM2" s="353"/>
      <c r="CN2" s="353"/>
      <c r="CO2" s="353"/>
      <c r="CP2" s="353"/>
      <c r="CQ2" s="353"/>
      <c r="CR2" s="353"/>
      <c r="CS2" s="353"/>
      <c r="CT2" s="353"/>
      <c r="CU2" s="353"/>
      <c r="CV2" s="353"/>
      <c r="CW2" s="353"/>
      <c r="CX2" s="353"/>
      <c r="CY2" s="353"/>
      <c r="CZ2" s="353"/>
      <c r="DA2" s="353"/>
      <c r="DB2" s="353"/>
      <c r="DC2" s="353"/>
      <c r="DD2" s="353"/>
      <c r="DE2" s="353"/>
      <c r="DF2" s="353"/>
      <c r="DG2" s="353"/>
      <c r="DH2" s="353"/>
      <c r="DI2" s="353"/>
      <c r="DJ2" s="353"/>
      <c r="DK2" s="353"/>
      <c r="DL2" s="353"/>
      <c r="DM2" s="353"/>
      <c r="DN2" s="353"/>
      <c r="DO2" s="353"/>
      <c r="DP2" s="353"/>
      <c r="DQ2" s="353"/>
      <c r="DR2" s="353"/>
      <c r="DS2" s="353"/>
      <c r="DT2" s="353"/>
      <c r="DU2" s="353"/>
      <c r="DV2" s="353"/>
      <c r="DW2" s="353"/>
      <c r="DX2" s="353"/>
      <c r="DY2" s="353"/>
      <c r="DZ2" s="353"/>
      <c r="EA2" s="353"/>
      <c r="EB2" s="353"/>
      <c r="EC2" s="353"/>
      <c r="ED2" s="353"/>
      <c r="EE2" s="353"/>
      <c r="EF2" s="353"/>
      <c r="EG2" s="353"/>
      <c r="EH2" s="353"/>
      <c r="EI2" s="353"/>
      <c r="EJ2" s="353"/>
      <c r="EK2" s="353"/>
      <c r="EL2" s="353"/>
      <c r="EM2" s="353"/>
      <c r="EN2" s="353"/>
      <c r="EO2" s="353"/>
      <c r="EP2" s="353"/>
      <c r="EQ2" s="353"/>
      <c r="ER2" s="353"/>
      <c r="ES2" s="353"/>
      <c r="ET2" s="353"/>
      <c r="EU2" s="353"/>
      <c r="EV2" s="353"/>
      <c r="EW2" s="353"/>
      <c r="EX2" s="353"/>
      <c r="EY2" s="353"/>
      <c r="EZ2" s="353"/>
      <c r="FA2" s="353"/>
      <c r="FB2" s="353"/>
      <c r="FC2" s="353"/>
      <c r="FD2" s="353"/>
      <c r="FE2" s="353"/>
      <c r="FF2" s="353"/>
      <c r="FG2" s="353"/>
      <c r="FH2" s="353"/>
      <c r="FI2" s="353"/>
      <c r="FJ2" s="353"/>
      <c r="FK2" s="353"/>
      <c r="FL2" s="353"/>
      <c r="FM2" s="353"/>
      <c r="FN2" s="353"/>
      <c r="FO2" s="353"/>
      <c r="FP2" s="353"/>
      <c r="FQ2" s="353"/>
      <c r="FR2" s="353"/>
      <c r="FS2" s="353"/>
      <c r="FT2" s="353"/>
      <c r="FU2" s="353"/>
      <c r="FV2" s="353"/>
      <c r="FW2" s="353"/>
      <c r="FX2" s="353"/>
      <c r="FY2" s="353"/>
      <c r="FZ2" s="353"/>
      <c r="GA2" s="353"/>
      <c r="GB2" s="353"/>
      <c r="GC2" s="353"/>
      <c r="GD2" s="353"/>
      <c r="GE2" s="353"/>
      <c r="GF2" s="353"/>
      <c r="GG2" s="353"/>
      <c r="GH2" s="353"/>
      <c r="GI2" s="353"/>
      <c r="GJ2" s="353"/>
      <c r="GK2" s="353"/>
      <c r="GL2" s="353"/>
      <c r="GM2" s="353"/>
      <c r="GN2" s="353"/>
      <c r="GO2" s="353"/>
      <c r="GP2" s="353"/>
      <c r="GQ2" s="353"/>
      <c r="GR2" s="353"/>
      <c r="GS2" s="353"/>
      <c r="GT2" s="353"/>
      <c r="GU2" s="353"/>
      <c r="GV2" s="353"/>
      <c r="GW2" s="353"/>
      <c r="GX2" s="353"/>
      <c r="GY2" s="353"/>
      <c r="GZ2" s="353"/>
      <c r="HA2" s="353"/>
      <c r="HB2" s="353"/>
      <c r="HC2" s="353"/>
      <c r="HD2" s="353"/>
      <c r="HE2" s="353"/>
      <c r="HF2" s="353"/>
      <c r="HG2" s="353"/>
      <c r="HH2" s="353"/>
      <c r="HI2" s="353"/>
      <c r="HJ2" s="353"/>
      <c r="HK2" s="353"/>
      <c r="HL2" s="353"/>
      <c r="HM2" s="353"/>
      <c r="HN2" s="353"/>
      <c r="HO2" s="353"/>
      <c r="HP2" s="353"/>
      <c r="HQ2" s="353"/>
      <c r="HR2" s="353"/>
      <c r="HS2" s="353"/>
      <c r="HT2" s="353"/>
      <c r="HU2" s="353"/>
      <c r="HV2" s="353"/>
      <c r="HW2" s="353"/>
      <c r="HX2" s="353"/>
      <c r="HY2" s="353"/>
      <c r="HZ2" s="353"/>
      <c r="IA2" s="353"/>
      <c r="IB2" s="353"/>
      <c r="IC2" s="353"/>
      <c r="ID2" s="353"/>
      <c r="IE2" s="353"/>
      <c r="IF2" s="353"/>
      <c r="IG2" s="353"/>
      <c r="IH2" s="353"/>
      <c r="II2" s="353"/>
      <c r="IJ2" s="353"/>
      <c r="IK2" s="353"/>
      <c r="IL2" s="353"/>
      <c r="IM2" s="353"/>
      <c r="IN2" s="353"/>
      <c r="IO2" s="353"/>
      <c r="IP2" s="353"/>
    </row>
    <row r="3" spans="1:250" ht="18.75">
      <c r="A3" s="355"/>
      <c r="B3" s="356"/>
      <c r="C3" s="357"/>
    </row>
    <row r="4" spans="1:250" ht="15.75" customHeight="1">
      <c r="A4" s="358"/>
      <c r="B4" s="435" t="str">
        <f>'M-B.'!C2</f>
        <v>Rehbalitation , Improvement / Renovation &amp; provision for Missing Facilities existing primary / Elementary school at GBPS. Saeedpur Taluka B.S.Karim District Tando Mohammad Khan.</v>
      </c>
      <c r="C4" s="435"/>
      <c r="D4" s="359"/>
      <c r="E4" s="359"/>
    </row>
    <row r="5" spans="1:250">
      <c r="A5" s="358"/>
      <c r="B5" s="435"/>
      <c r="C5" s="435"/>
      <c r="D5" s="359"/>
      <c r="E5" s="359"/>
    </row>
    <row r="6" spans="1:250">
      <c r="A6" s="358"/>
      <c r="B6" s="435"/>
      <c r="C6" s="435"/>
      <c r="D6" s="359"/>
      <c r="E6" s="359"/>
    </row>
    <row r="7" spans="1:250" ht="16.5" thickBot="1">
      <c r="A7" s="360"/>
    </row>
    <row r="8" spans="1:250" ht="16.5" thickTop="1">
      <c r="A8" s="436" t="s">
        <v>333</v>
      </c>
      <c r="B8" s="438" t="s">
        <v>352</v>
      </c>
      <c r="C8" s="361" t="s">
        <v>337</v>
      </c>
    </row>
    <row r="9" spans="1:250" ht="16.5" thickBot="1">
      <c r="A9" s="437"/>
      <c r="B9" s="439"/>
      <c r="C9" s="362" t="s">
        <v>340</v>
      </c>
    </row>
    <row r="10" spans="1:250" ht="16.5" thickTop="1"/>
    <row r="11" spans="1:250">
      <c r="A11" s="363">
        <v>1</v>
      </c>
      <c r="B11" s="366" t="s">
        <v>353</v>
      </c>
      <c r="C11" s="365">
        <v>7342940</v>
      </c>
    </row>
    <row r="12" spans="1:250">
      <c r="A12" s="363"/>
      <c r="B12" s="364"/>
      <c r="C12" s="365"/>
    </row>
    <row r="13" spans="1:250">
      <c r="A13" s="363">
        <v>1</v>
      </c>
      <c r="B13" s="366" t="s">
        <v>354</v>
      </c>
      <c r="C13" s="365">
        <v>1067500</v>
      </c>
    </row>
    <row r="14" spans="1:250" ht="16.5" thickBot="1">
      <c r="A14" s="363"/>
      <c r="C14" s="368"/>
      <c r="D14" s="369"/>
    </row>
    <row r="15" spans="1:250">
      <c r="A15" s="363"/>
      <c r="B15" s="370" t="s">
        <v>98</v>
      </c>
      <c r="C15" s="412">
        <f>SUM(C10:C14)</f>
        <v>8410440</v>
      </c>
      <c r="D15" s="369"/>
    </row>
    <row r="16" spans="1:250">
      <c r="A16" s="365"/>
      <c r="C16" s="412"/>
      <c r="D16" s="369"/>
    </row>
    <row r="17" spans="1:5">
      <c r="A17" s="365"/>
      <c r="B17" s="363" t="s">
        <v>355</v>
      </c>
      <c r="C17" s="374">
        <f>C15/1000000</f>
        <v>8.4104399999999995</v>
      </c>
      <c r="D17" s="369"/>
    </row>
    <row r="18" spans="1:5">
      <c r="A18" s="365"/>
      <c r="C18" s="375"/>
      <c r="D18" s="369"/>
    </row>
    <row r="19" spans="1:5">
      <c r="A19" s="365"/>
      <c r="C19" s="374"/>
    </row>
    <row r="21" spans="1:5">
      <c r="C21" s="377"/>
      <c r="D21" s="369"/>
      <c r="E21" s="369"/>
    </row>
    <row r="22" spans="1:5">
      <c r="C22" s="376"/>
      <c r="E22" s="369"/>
    </row>
    <row r="23" spans="1:5">
      <c r="B23" s="378"/>
      <c r="C23" s="378" t="s">
        <v>100</v>
      </c>
    </row>
    <row r="24" spans="1:5">
      <c r="B24" s="378"/>
      <c r="C24" s="378" t="s">
        <v>101</v>
      </c>
    </row>
    <row r="25" spans="1:5">
      <c r="B25" s="378"/>
      <c r="C25" s="378" t="s">
        <v>102</v>
      </c>
    </row>
    <row r="26" spans="1:5">
      <c r="B26" s="380"/>
    </row>
  </sheetData>
  <mergeCells count="3">
    <mergeCell ref="B4:C6"/>
    <mergeCell ref="A8:A9"/>
    <mergeCell ref="B8:B9"/>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dimension ref="A2:M42"/>
  <sheetViews>
    <sheetView topLeftCell="A7" zoomScale="83" zoomScaleNormal="83" workbookViewId="0">
      <selection activeCell="A21" sqref="A21:XFD22"/>
    </sheetView>
  </sheetViews>
  <sheetFormatPr defaultColWidth="9.140625" defaultRowHeight="12.75"/>
  <cols>
    <col min="1" max="1" width="5" style="1" customWidth="1"/>
    <col min="2" max="2" width="31" style="1" customWidth="1"/>
    <col min="3" max="3" width="11.42578125" style="1" customWidth="1"/>
    <col min="4" max="4" width="9.140625" style="1"/>
    <col min="5" max="5" width="15.85546875" style="1" customWidth="1"/>
    <col min="6" max="6" width="7.5703125" style="1" customWidth="1"/>
    <col min="7" max="7" width="18" style="1" customWidth="1"/>
    <col min="8" max="8" width="7.42578125" style="1" customWidth="1"/>
    <col min="9" max="9" width="10.42578125" style="1" customWidth="1"/>
    <col min="10" max="10" width="6.42578125" style="1" customWidth="1"/>
    <col min="11" max="11" width="11" style="1" customWidth="1"/>
    <col min="12" max="12" width="18" style="1" customWidth="1"/>
    <col min="13" max="13" width="9.140625" style="1"/>
    <col min="14" max="14" width="11.5703125" style="1" bestFit="1" customWidth="1"/>
    <col min="15" max="16384" width="9.140625" style="1"/>
  </cols>
  <sheetData>
    <row r="2" spans="1:12" ht="24.75" customHeight="1">
      <c r="B2" s="443" t="s">
        <v>0</v>
      </c>
      <c r="C2" s="443"/>
      <c r="D2" s="443"/>
      <c r="E2" s="443"/>
      <c r="F2" s="443"/>
      <c r="G2" s="443"/>
      <c r="H2" s="443"/>
      <c r="I2" s="443"/>
      <c r="J2" s="443"/>
      <c r="K2" s="443"/>
      <c r="L2" s="443"/>
    </row>
    <row r="3" spans="1:12" ht="20.25">
      <c r="B3" s="118"/>
      <c r="C3" s="118"/>
      <c r="D3" s="118"/>
      <c r="E3" s="118"/>
      <c r="F3" s="118"/>
      <c r="G3" s="118"/>
      <c r="H3" s="118"/>
      <c r="I3" s="118"/>
      <c r="J3" s="118"/>
      <c r="K3" s="118"/>
      <c r="L3" s="118"/>
    </row>
    <row r="4" spans="1:12" ht="40.5" customHeight="1">
      <c r="A4" s="444" t="s">
        <v>124</v>
      </c>
      <c r="B4" s="444"/>
      <c r="C4" s="444"/>
      <c r="D4" s="444"/>
      <c r="E4" s="444"/>
      <c r="F4" s="444"/>
      <c r="G4" s="444"/>
      <c r="H4" s="444"/>
      <c r="I4" s="444"/>
      <c r="J4" s="444"/>
      <c r="K4" s="444"/>
      <c r="L4" s="444"/>
    </row>
    <row r="5" spans="1:12" ht="18">
      <c r="A5" s="2"/>
      <c r="B5" s="445" t="s">
        <v>14</v>
      </c>
      <c r="C5" s="445"/>
      <c r="D5" s="445"/>
      <c r="E5" s="445"/>
      <c r="F5" s="445"/>
      <c r="G5" s="445"/>
      <c r="H5" s="445"/>
      <c r="I5" s="445"/>
      <c r="J5" s="445"/>
      <c r="K5" s="445"/>
      <c r="L5" s="445"/>
    </row>
    <row r="6" spans="1:12" s="55" customFormat="1" ht="30.75" customHeight="1">
      <c r="A6" s="441" t="s">
        <v>1</v>
      </c>
      <c r="B6" s="441" t="s">
        <v>2</v>
      </c>
      <c r="C6" s="446" t="s">
        <v>3</v>
      </c>
      <c r="D6" s="447" t="s">
        <v>4</v>
      </c>
      <c r="E6" s="446"/>
      <c r="F6" s="446" t="s">
        <v>5</v>
      </c>
      <c r="G6" s="446"/>
      <c r="H6" s="446" t="s">
        <v>6</v>
      </c>
      <c r="I6" s="446"/>
      <c r="J6" s="446" t="s">
        <v>7</v>
      </c>
      <c r="K6" s="446"/>
      <c r="L6" s="441" t="s">
        <v>8</v>
      </c>
    </row>
    <row r="7" spans="1:12" s="55" customFormat="1">
      <c r="A7" s="442"/>
      <c r="B7" s="442"/>
      <c r="C7" s="446"/>
      <c r="D7" s="128" t="s">
        <v>9</v>
      </c>
      <c r="E7" s="127" t="s">
        <v>10</v>
      </c>
      <c r="F7" s="127" t="s">
        <v>9</v>
      </c>
      <c r="G7" s="127" t="s">
        <v>10</v>
      </c>
      <c r="H7" s="127" t="s">
        <v>9</v>
      </c>
      <c r="I7" s="127" t="s">
        <v>10</v>
      </c>
      <c r="J7" s="127" t="s">
        <v>9</v>
      </c>
      <c r="K7" s="127" t="s">
        <v>10</v>
      </c>
      <c r="L7" s="442"/>
    </row>
    <row r="8" spans="1:12" s="55" customFormat="1"/>
    <row r="9" spans="1:12" s="55" customFormat="1">
      <c r="A9" s="56" t="s">
        <v>28</v>
      </c>
      <c r="B9" s="57" t="s">
        <v>11</v>
      </c>
      <c r="C9" s="58"/>
      <c r="D9" s="59"/>
      <c r="E9" s="60"/>
    </row>
    <row r="10" spans="1:12" s="55" customFormat="1">
      <c r="A10" s="61"/>
      <c r="B10" s="57"/>
      <c r="C10" s="58"/>
      <c r="D10" s="59"/>
      <c r="E10" s="60"/>
    </row>
    <row r="11" spans="1:12" s="55" customFormat="1">
      <c r="A11" s="62" t="s">
        <v>12</v>
      </c>
      <c r="B11" s="103" t="s">
        <v>96</v>
      </c>
      <c r="C11" s="63">
        <v>2470</v>
      </c>
      <c r="D11" s="60">
        <v>2781</v>
      </c>
      <c r="E11" s="60">
        <f>'AB Sheet'!H37</f>
        <v>6870200</v>
      </c>
      <c r="F11" s="55">
        <v>155</v>
      </c>
      <c r="G11" s="60">
        <f>SUM(C11*F11)</f>
        <v>382850</v>
      </c>
      <c r="H11" s="55">
        <v>140</v>
      </c>
      <c r="I11" s="60">
        <f>SUM(C11*H11)</f>
        <v>345800</v>
      </c>
      <c r="J11" s="55">
        <v>0</v>
      </c>
      <c r="K11" s="60">
        <f>SUM(C11*J11)</f>
        <v>0</v>
      </c>
      <c r="L11" s="60">
        <f>SUM(E11+G11+I11+K11)</f>
        <v>7598850</v>
      </c>
    </row>
    <row r="12" spans="1:12" s="55" customFormat="1">
      <c r="A12" s="62"/>
      <c r="C12" s="63" t="s">
        <v>13</v>
      </c>
      <c r="D12" s="60"/>
      <c r="E12" s="60"/>
      <c r="L12" s="60" t="s">
        <v>14</v>
      </c>
    </row>
    <row r="13" spans="1:12" s="103" customFormat="1" ht="15" customHeight="1">
      <c r="A13" s="416" t="s">
        <v>350</v>
      </c>
      <c r="B13" s="103" t="s">
        <v>351</v>
      </c>
      <c r="C13" s="417">
        <v>1856</v>
      </c>
      <c r="D13" s="415">
        <v>310.43</v>
      </c>
      <c r="E13" s="414">
        <f>C13*D13</f>
        <v>576158.07999999996</v>
      </c>
      <c r="G13" s="415"/>
      <c r="I13" s="415"/>
      <c r="K13" s="415"/>
      <c r="L13" s="415">
        <f>SUM(E13+G13+I13+K13)</f>
        <v>576158.07999999996</v>
      </c>
    </row>
    <row r="14" spans="1:12" s="55" customFormat="1">
      <c r="A14" s="62"/>
      <c r="C14" s="417" t="s">
        <v>13</v>
      </c>
      <c r="D14" s="60"/>
      <c r="E14" s="60"/>
      <c r="L14" s="60"/>
    </row>
    <row r="15" spans="1:12" s="55" customFormat="1">
      <c r="A15" s="62" t="s">
        <v>12</v>
      </c>
      <c r="B15" s="103" t="s">
        <v>342</v>
      </c>
      <c r="C15" s="63">
        <v>125</v>
      </c>
      <c r="D15" s="60">
        <v>1640</v>
      </c>
      <c r="E15" s="60">
        <f>D15*C15</f>
        <v>205000</v>
      </c>
      <c r="G15" s="60"/>
      <c r="I15" s="60"/>
      <c r="K15" s="60"/>
      <c r="L15" s="60">
        <f>SUM(E15+G15+I15+K15)</f>
        <v>205000</v>
      </c>
    </row>
    <row r="16" spans="1:12" s="55" customFormat="1">
      <c r="A16" s="62"/>
      <c r="C16" s="63" t="s">
        <v>13</v>
      </c>
      <c r="D16" s="60"/>
      <c r="E16" s="60"/>
      <c r="L16" s="60" t="s">
        <v>14</v>
      </c>
    </row>
    <row r="17" spans="1:13" s="55" customFormat="1">
      <c r="A17" s="62"/>
      <c r="B17" s="64"/>
      <c r="C17" s="63"/>
      <c r="D17" s="60"/>
      <c r="E17" s="65">
        <f>SUM(E5:E12)</f>
        <v>6870200</v>
      </c>
      <c r="F17" s="66"/>
      <c r="G17" s="65">
        <f>SUM(G5:G12)</f>
        <v>382850</v>
      </c>
      <c r="H17" s="66"/>
      <c r="I17" s="65">
        <f>SUM(I5:I12)</f>
        <v>345800</v>
      </c>
      <c r="J17" s="66"/>
      <c r="K17" s="65">
        <f>SUM(K5:K12)</f>
        <v>0</v>
      </c>
      <c r="L17" s="65">
        <f>SUM(L11:L12)</f>
        <v>7598850</v>
      </c>
    </row>
    <row r="18" spans="1:13" s="55" customFormat="1">
      <c r="A18" s="62"/>
      <c r="B18" s="115"/>
      <c r="C18" s="63"/>
      <c r="D18" s="60"/>
      <c r="E18" s="67"/>
      <c r="F18" s="66"/>
      <c r="G18" s="67"/>
      <c r="H18" s="66"/>
      <c r="I18" s="67"/>
      <c r="J18" s="66"/>
      <c r="K18" s="67"/>
      <c r="L18" s="67"/>
    </row>
    <row r="19" spans="1:13" s="55" customFormat="1">
      <c r="A19" s="62"/>
      <c r="B19" s="115"/>
      <c r="C19" s="63"/>
      <c r="D19" s="60"/>
      <c r="E19" s="67"/>
      <c r="F19" s="66"/>
      <c r="G19" s="67"/>
      <c r="H19" s="66"/>
      <c r="I19" s="67"/>
      <c r="J19" s="66"/>
      <c r="K19" s="65" t="s">
        <v>98</v>
      </c>
      <c r="L19" s="65">
        <f>SUM(L17:L18)</f>
        <v>7598850</v>
      </c>
    </row>
    <row r="20" spans="1:13" s="55" customFormat="1">
      <c r="A20" s="56" t="s">
        <v>97</v>
      </c>
      <c r="B20" s="68" t="s">
        <v>25</v>
      </c>
      <c r="C20" s="63"/>
      <c r="D20" s="60"/>
      <c r="E20" s="60"/>
      <c r="L20" s="67"/>
    </row>
    <row r="21" spans="1:13" s="55" customFormat="1">
      <c r="A21" s="62" t="s">
        <v>12</v>
      </c>
      <c r="B21" s="55" t="s">
        <v>25</v>
      </c>
      <c r="C21" s="63">
        <v>450</v>
      </c>
      <c r="D21" s="60">
        <v>1700</v>
      </c>
      <c r="E21" s="60">
        <f>D21*C21</f>
        <v>765000</v>
      </c>
      <c r="F21" s="55">
        <v>0</v>
      </c>
      <c r="G21" s="55">
        <v>0</v>
      </c>
      <c r="H21" s="55">
        <v>0</v>
      </c>
      <c r="I21" s="55">
        <v>0</v>
      </c>
      <c r="J21" s="55">
        <v>0</v>
      </c>
      <c r="K21" s="55">
        <v>0</v>
      </c>
      <c r="L21" s="60">
        <f>SUM(E21+G21+I21+K21)</f>
        <v>765000</v>
      </c>
    </row>
    <row r="22" spans="1:13" s="55" customFormat="1">
      <c r="A22" s="62" t="s">
        <v>23</v>
      </c>
      <c r="B22" s="64" t="s">
        <v>26</v>
      </c>
      <c r="C22" s="63">
        <v>1</v>
      </c>
      <c r="D22" s="60">
        <v>47500</v>
      </c>
      <c r="E22" s="60">
        <f>D22*C22</f>
        <v>47500</v>
      </c>
      <c r="F22" s="55">
        <v>0</v>
      </c>
      <c r="G22" s="55">
        <v>0</v>
      </c>
      <c r="H22" s="55">
        <v>0</v>
      </c>
      <c r="I22" s="55">
        <v>0</v>
      </c>
      <c r="J22" s="55">
        <v>0</v>
      </c>
      <c r="K22" s="55">
        <v>0</v>
      </c>
      <c r="L22" s="60">
        <f>SUM(E22+G22+I22+K22)</f>
        <v>47500</v>
      </c>
    </row>
    <row r="23" spans="1:13" s="55" customFormat="1">
      <c r="A23" s="62"/>
      <c r="B23" s="68" t="s">
        <v>27</v>
      </c>
      <c r="C23" s="63"/>
      <c r="D23" s="60"/>
      <c r="E23" s="60"/>
      <c r="L23" s="65">
        <f>SUM(L21:L22)</f>
        <v>812500</v>
      </c>
    </row>
    <row r="24" spans="1:13" s="55" customFormat="1">
      <c r="A24" s="62"/>
      <c r="B24" s="68"/>
      <c r="C24" s="63"/>
      <c r="D24" s="60"/>
      <c r="E24" s="60"/>
      <c r="L24" s="106"/>
    </row>
    <row r="25" spans="1:13" s="55" customFormat="1">
      <c r="B25" s="68" t="s">
        <v>16</v>
      </c>
      <c r="E25" s="69" t="s">
        <v>14</v>
      </c>
      <c r="F25" s="66"/>
      <c r="G25" s="69" t="s">
        <v>14</v>
      </c>
      <c r="H25" s="66"/>
      <c r="I25" s="69" t="s">
        <v>14</v>
      </c>
      <c r="J25" s="66"/>
      <c r="K25" s="69" t="s">
        <v>14</v>
      </c>
      <c r="L25" s="107">
        <f>L23+L19</f>
        <v>8411350</v>
      </c>
    </row>
    <row r="26" spans="1:13" s="55" customFormat="1">
      <c r="B26" s="68" t="s">
        <v>17</v>
      </c>
      <c r="L26" s="70">
        <f>L25/1000000</f>
        <v>8.4113500000000005</v>
      </c>
    </row>
    <row r="27" spans="1:13" s="3" customFormat="1" ht="12"/>
    <row r="28" spans="1:13" s="3" customFormat="1" ht="12"/>
    <row r="29" spans="1:13" s="3" customFormat="1" ht="12"/>
    <row r="30" spans="1:13" s="3" customFormat="1" ht="12">
      <c r="E30" s="440" t="s">
        <v>100</v>
      </c>
      <c r="F30" s="440"/>
      <c r="G30" s="440"/>
      <c r="H30" s="440"/>
      <c r="J30" s="440" t="s">
        <v>24</v>
      </c>
      <c r="K30" s="440"/>
      <c r="L30" s="440"/>
      <c r="M30" s="440"/>
    </row>
    <row r="31" spans="1:13" s="3" customFormat="1" ht="12">
      <c r="E31" s="440" t="s">
        <v>101</v>
      </c>
      <c r="F31" s="440"/>
      <c r="G31" s="440"/>
      <c r="H31" s="440"/>
      <c r="J31" s="440" t="s">
        <v>84</v>
      </c>
      <c r="K31" s="440"/>
      <c r="L31" s="440"/>
      <c r="M31" s="440"/>
    </row>
    <row r="32" spans="1:13" s="3" customFormat="1" ht="12">
      <c r="E32" s="440" t="s">
        <v>102</v>
      </c>
      <c r="F32" s="440"/>
      <c r="G32" s="440"/>
      <c r="H32" s="440"/>
      <c r="J32" s="440" t="s">
        <v>102</v>
      </c>
      <c r="K32" s="440"/>
      <c r="L32" s="440"/>
      <c r="M32" s="440"/>
    </row>
    <row r="33" spans="10:13" s="3" customFormat="1" ht="12">
      <c r="J33" s="440" t="s">
        <v>14</v>
      </c>
      <c r="K33" s="440"/>
      <c r="L33" s="440"/>
      <c r="M33" s="440"/>
    </row>
    <row r="34" spans="10:13" s="3" customFormat="1" ht="12"/>
    <row r="35" spans="10:13" s="3" customFormat="1" ht="12"/>
    <row r="36" spans="10:13" s="3" customFormat="1" ht="12"/>
    <row r="37" spans="10:13" s="3" customFormat="1" ht="12"/>
    <row r="38" spans="10:13" s="3" customFormat="1" ht="12"/>
    <row r="39" spans="10:13" s="3" customFormat="1" ht="12"/>
    <row r="40" spans="10:13" s="3" customFormat="1" ht="12"/>
    <row r="41" spans="10:13" s="3" customFormat="1" ht="12"/>
    <row r="42" spans="10:13" s="3" customFormat="1" ht="12"/>
  </sheetData>
  <mergeCells count="18">
    <mergeCell ref="B2:L2"/>
    <mergeCell ref="A4:L4"/>
    <mergeCell ref="B5:L5"/>
    <mergeCell ref="A6:A7"/>
    <mergeCell ref="B6:B7"/>
    <mergeCell ref="C6:C7"/>
    <mergeCell ref="D6:E6"/>
    <mergeCell ref="F6:G6"/>
    <mergeCell ref="H6:I6"/>
    <mergeCell ref="J6:K6"/>
    <mergeCell ref="J33:M33"/>
    <mergeCell ref="L6:L7"/>
    <mergeCell ref="E30:H30"/>
    <mergeCell ref="J30:M30"/>
    <mergeCell ref="E31:H31"/>
    <mergeCell ref="J31:M31"/>
    <mergeCell ref="E32:H32"/>
    <mergeCell ref="J32:M32"/>
  </mergeCells>
  <pageMargins left="0.45" right="0.2" top="0.75" bottom="0.25" header="0.3" footer="0.3"/>
  <pageSetup scale="85"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3</vt:i4>
      </vt:variant>
    </vt:vector>
  </HeadingPairs>
  <TitlesOfParts>
    <vt:vector size="17" baseType="lpstr">
      <vt:lpstr>List</vt:lpstr>
      <vt:lpstr>REVENUE</vt:lpstr>
      <vt:lpstr>Activity Plan</vt:lpstr>
      <vt:lpstr>Escalation</vt:lpstr>
      <vt:lpstr>G.Abs</vt:lpstr>
      <vt:lpstr>Recurring</vt:lpstr>
      <vt:lpstr>Ab </vt:lpstr>
      <vt:lpstr>Sheet8</vt:lpstr>
      <vt:lpstr>Sheet1</vt:lpstr>
      <vt:lpstr>Sheet2</vt:lpstr>
      <vt:lpstr>Estimate.</vt:lpstr>
      <vt:lpstr>Carriage</vt:lpstr>
      <vt:lpstr>AB Sheet</vt:lpstr>
      <vt:lpstr>M-B.</vt:lpstr>
      <vt:lpstr>'AB Sheet'!Print_Titles</vt:lpstr>
      <vt:lpstr>Estimate.!Print_Titles</vt:lpstr>
      <vt:lpstr>'M-B.'!Print_Titles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Nabeel</dc:creator>
  <cp:lastModifiedBy>ouiouio</cp:lastModifiedBy>
  <cp:lastPrinted>2017-03-27T22:39:31Z</cp:lastPrinted>
  <dcterms:created xsi:type="dcterms:W3CDTF">2012-07-04T08:48:01Z</dcterms:created>
  <dcterms:modified xsi:type="dcterms:W3CDTF">2017-03-27T22:41:48Z</dcterms:modified>
</cp:coreProperties>
</file>