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420" windowWidth="8730" windowHeight="3960" tabRatio="650" activeTab="3"/>
  </bookViews>
  <sheets>
    <sheet name="Face sheet" sheetId="58" r:id="rId1"/>
    <sheet name="G.Abs" sheetId="59" r:id="rId2"/>
    <sheet name="Mes" sheetId="56" r:id="rId3"/>
    <sheet name="(Abs)" sheetId="55" r:id="rId4"/>
  </sheets>
  <definedNames>
    <definedName name="_xlnm.Print_Area" localSheetId="3">'(Abs)'!$A$1:$K$334</definedName>
    <definedName name="_xlnm.Print_Area" localSheetId="2">Mes!$A$1:$K$264</definedName>
    <definedName name="_xlnm.Print_Titles" localSheetId="3">'(Abs)'!$6:$6</definedName>
    <definedName name="_xlnm.Print_Titles" localSheetId="2">Mes!$6:$6</definedName>
    <definedName name="Z_5096C17F_4B72_4439_B201_B103E6167857_.wvu.PrintTitles" localSheetId="3" hidden="1">'(Abs)'!$6:$6</definedName>
  </definedNames>
  <calcPr calcId="144525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72" i="55" l="1"/>
  <c r="J173" i="56" l="1"/>
  <c r="J172" i="56"/>
  <c r="J156" i="56"/>
  <c r="J144" i="56"/>
  <c r="J143" i="56"/>
  <c r="J135" i="56"/>
  <c r="J133" i="56"/>
  <c r="J136" i="56" s="1"/>
  <c r="J134" i="56"/>
  <c r="J120" i="56"/>
  <c r="J17" i="56" l="1"/>
  <c r="D27" i="55" s="1"/>
  <c r="J13" i="56"/>
  <c r="J12" i="56"/>
  <c r="J11" i="56"/>
  <c r="J10" i="56"/>
  <c r="J14" i="56" s="1"/>
  <c r="D20" i="55" s="1"/>
  <c r="D87" i="55" l="1"/>
  <c r="J212" i="56" l="1"/>
  <c r="J207" i="56" l="1"/>
  <c r="J170" i="56"/>
  <c r="J171" i="56"/>
  <c r="J169" i="56"/>
  <c r="J168" i="56"/>
  <c r="J163" i="56"/>
  <c r="D139" i="55" s="1"/>
  <c r="J129" i="56"/>
  <c r="J110" i="56"/>
  <c r="J109" i="56"/>
  <c r="J103" i="56"/>
  <c r="J102" i="56"/>
  <c r="J90" i="56"/>
  <c r="J89" i="56"/>
  <c r="J88" i="56"/>
  <c r="J87" i="56"/>
  <c r="J56" i="56"/>
  <c r="J58" i="56"/>
  <c r="J57" i="56"/>
  <c r="J52" i="56" l="1"/>
  <c r="J51" i="56"/>
  <c r="J47" i="56"/>
  <c r="J46" i="56"/>
  <c r="J42" i="56"/>
  <c r="J41" i="56"/>
  <c r="J36" i="56"/>
  <c r="J35" i="56"/>
  <c r="J32" i="56"/>
  <c r="D45" i="55" s="1"/>
  <c r="J28" i="56"/>
  <c r="J27" i="56"/>
  <c r="J23" i="56"/>
  <c r="J22" i="56"/>
  <c r="D302" i="55" l="1"/>
  <c r="D301" i="55"/>
  <c r="D303" i="55"/>
  <c r="D292" i="55"/>
  <c r="D291" i="55"/>
  <c r="D290" i="55"/>
  <c r="D277" i="55"/>
  <c r="J277" i="55" s="1"/>
  <c r="D263" i="55"/>
  <c r="D251" i="55"/>
  <c r="J251" i="55" s="1"/>
  <c r="D248" i="55"/>
  <c r="D244" i="55"/>
  <c r="D240" i="55"/>
  <c r="J240" i="55" s="1"/>
  <c r="D229" i="55" l="1"/>
  <c r="J229" i="55" s="1"/>
  <c r="D223" i="55"/>
  <c r="D210" i="55"/>
  <c r="J210" i="55" s="1"/>
  <c r="D179" i="55" l="1"/>
  <c r="J125" i="56" l="1"/>
  <c r="J142" i="56"/>
  <c r="J141" i="56"/>
  <c r="J140" i="56"/>
  <c r="J139" i="56"/>
  <c r="J145" i="56" s="1"/>
  <c r="J148" i="56"/>
  <c r="J149" i="56"/>
  <c r="J150" i="56"/>
  <c r="J151" i="56"/>
  <c r="J155" i="56"/>
  <c r="J167" i="56"/>
  <c r="J166" i="56"/>
  <c r="J174" i="56" s="1"/>
  <c r="J183" i="56"/>
  <c r="J182" i="56"/>
  <c r="J181" i="56"/>
  <c r="J180" i="56"/>
  <c r="J179" i="56"/>
  <c r="J178" i="56"/>
  <c r="J177" i="56"/>
  <c r="J193" i="56"/>
  <c r="J192" i="56"/>
  <c r="J191" i="56"/>
  <c r="J190" i="56"/>
  <c r="J189" i="56"/>
  <c r="J188" i="56"/>
  <c r="J209" i="56"/>
  <c r="D188" i="55" s="1"/>
  <c r="D197" i="55"/>
  <c r="J105" i="56"/>
  <c r="J104" i="56"/>
  <c r="J96" i="56"/>
  <c r="J95" i="56"/>
  <c r="J94" i="56"/>
  <c r="J81" i="56"/>
  <c r="J80" i="56"/>
  <c r="J79" i="56"/>
  <c r="J77" i="56"/>
  <c r="J76" i="56"/>
  <c r="J75" i="56"/>
  <c r="J72" i="56"/>
  <c r="J71" i="56"/>
  <c r="J70" i="56"/>
  <c r="J69" i="56"/>
  <c r="J68" i="56"/>
  <c r="J67" i="56"/>
  <c r="J66" i="56"/>
  <c r="J62" i="56"/>
  <c r="J55" i="56"/>
  <c r="J157" i="56" l="1"/>
  <c r="J184" i="56"/>
  <c r="J130" i="56"/>
  <c r="J126" i="56"/>
  <c r="J111" i="56"/>
  <c r="D84" i="55" s="1"/>
  <c r="J59" i="56"/>
  <c r="J82" i="56"/>
  <c r="J97" i="56"/>
  <c r="J106" i="56"/>
  <c r="J194" i="56"/>
  <c r="J91" i="56"/>
  <c r="J99" i="56" s="1"/>
  <c r="D77" i="55" s="1"/>
  <c r="D105" i="55" l="1"/>
  <c r="D150" i="55"/>
  <c r="D80" i="55"/>
  <c r="J80" i="55" s="1"/>
  <c r="D163" i="55"/>
  <c r="D112" i="55"/>
  <c r="D156" i="55"/>
  <c r="J159" i="56"/>
  <c r="D130" i="55" s="1"/>
  <c r="D123" i="55"/>
  <c r="J200" i="56"/>
  <c r="J84" i="56"/>
  <c r="D75" i="55" s="1"/>
  <c r="J201" i="56" l="1"/>
  <c r="J202" i="56" s="1"/>
  <c r="J197" i="56"/>
  <c r="D169" i="55" s="1"/>
  <c r="D176" i="55" l="1"/>
  <c r="H10" i="59" s="1"/>
  <c r="D289" i="55"/>
  <c r="J119" i="56" l="1"/>
  <c r="J121" i="56" s="1"/>
  <c r="J37" i="56"/>
  <c r="J45" i="55"/>
  <c r="D50" i="55" l="1"/>
  <c r="J50" i="55" s="1"/>
  <c r="J43" i="56"/>
  <c r="J48" i="56"/>
  <c r="J53" i="56"/>
  <c r="J20" i="55"/>
  <c r="J24" i="56"/>
  <c r="J29" i="56"/>
  <c r="D94" i="55" l="1"/>
  <c r="J94" i="55" s="1"/>
  <c r="D40" i="55"/>
  <c r="J40" i="55" s="1"/>
  <c r="D69" i="55"/>
  <c r="J69" i="55" s="1"/>
  <c r="D33" i="55"/>
  <c r="J33" i="55" s="1"/>
  <c r="D59" i="55"/>
  <c r="J59" i="55" s="1"/>
  <c r="D304" i="55"/>
  <c r="J269" i="55"/>
  <c r="J248" i="55"/>
  <c r="J260" i="55" l="1"/>
  <c r="J263" i="55" l="1"/>
  <c r="J84" i="55" l="1"/>
  <c r="J77" i="55" l="1"/>
  <c r="J75" i="55"/>
  <c r="J87" i="55"/>
  <c r="J244" i="55" l="1"/>
  <c r="J223" i="55" l="1"/>
  <c r="J280" i="55" s="1"/>
  <c r="H13" i="59" l="1"/>
  <c r="H14" i="59" l="1"/>
  <c r="J96" i="55" l="1"/>
  <c r="H9" i="59" s="1"/>
  <c r="H26" i="59" s="1"/>
  <c r="H28" i="59" s="1"/>
</calcChain>
</file>

<file path=xl/sharedStrings.xml><?xml version="1.0" encoding="utf-8"?>
<sst xmlns="http://schemas.openxmlformats.org/spreadsheetml/2006/main" count="980" uniqueCount="575">
  <si>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</si>
  <si>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</si>
  <si>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</si>
  <si>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</si>
  <si>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</si>
  <si>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</si>
  <si>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</si>
  <si>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</si>
  <si>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</si>
  <si>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</si>
  <si>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</si>
  <si>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</si>
  <si>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</si>
  <si>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</si>
  <si>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</si>
  <si>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</si>
  <si>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</si>
  <si>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</si>
  <si>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</si>
  <si>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</si>
  <si>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</si>
  <si>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</si>
  <si>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</si>
  <si>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</si>
  <si>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</si>
  <si>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</si>
  <si>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</si>
  <si>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</si>
  <si>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</si>
  <si>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</si>
  <si>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</si>
  <si>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</si>
  <si>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</si>
  <si>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</si>
  <si>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</si>
  <si>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</si>
  <si>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</si>
  <si>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</si>
  <si>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</si>
  <si>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</si>
  <si>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</si>
  <si>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</si>
  <si>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</si>
  <si>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</si>
  <si>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</si>
  <si>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</si>
  <si>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</si>
  <si>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</si>
  <si>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</si>
  <si>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</si>
  <si>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</si>
  <si>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</si>
  <si>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</si>
  <si>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</si>
  <si>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</si>
  <si>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</si>
  <si>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</si>
  <si>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</si>
  <si>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</si>
  <si>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</si>
  <si>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</si>
  <si>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</si>
  <si>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</si>
  <si>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</si>
  <si>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</si>
  <si>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</si>
  <si>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</si>
  <si>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</si>
  <si>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</si>
  <si>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</si>
  <si>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</si>
  <si>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etc complete.</t>
  </si>
  <si>
    <t>Non Schedule Item</t>
  </si>
  <si>
    <t>Provincial Building Sub-Division No.VII</t>
  </si>
  <si>
    <t>Deduction:</t>
  </si>
  <si>
    <t>4" dia Plain Bend</t>
  </si>
  <si>
    <t>PART (A) Civil Work)</t>
  </si>
  <si>
    <t xml:space="preserve">jointing with switch pest with special </t>
  </si>
  <si>
    <t>approved quality i/c all cost of labour</t>
  </si>
  <si>
    <t xml:space="preserve">   “</t>
  </si>
  <si>
    <t xml:space="preserve">Scraping ordinary distemper or paint on </t>
  </si>
  <si>
    <t>(S.I.No.54(b)P-13)</t>
  </si>
  <si>
    <t>% Sft</t>
  </si>
  <si>
    <t xml:space="preserve">Painting Old Surfaces painting doors and </t>
  </si>
  <si>
    <t>Windows any type. Each subsequent coat.</t>
  </si>
  <si>
    <t>(S.I.No.4-c/i+ii/P-68)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</si>
  <si>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</si>
  <si>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</si>
  <si>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</si>
  <si>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</si>
  <si>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</si>
  <si>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</si>
  <si>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</si>
  <si>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</si>
  <si>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</si>
  <si>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</si>
  <si>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</si>
  <si>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</si>
  <si>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</si>
  <si>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</si>
  <si>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</si>
  <si>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</si>
  <si>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</si>
  <si>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</si>
  <si>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</si>
  <si>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4" dia</t>
  </si>
  <si>
    <t>P.Rft</t>
  </si>
  <si>
    <t>Providing &amp; fixing UPVC fitting 4" dia</t>
  </si>
  <si>
    <t>of pak arab of approved quality on</t>
  </si>
  <si>
    <t xml:space="preserve">on wall upto 50 ft with plastic clamp paid </t>
  </si>
  <si>
    <t xml:space="preserve">separately this also i/c cutting making </t>
  </si>
  <si>
    <t>4" dia Plug Tee</t>
  </si>
  <si>
    <t>4" dia Cowel</t>
  </si>
  <si>
    <t>Part "B" W/S &amp; S/F</t>
  </si>
  <si>
    <t>Room</t>
  </si>
  <si>
    <t>W</t>
  </si>
  <si>
    <t>D</t>
  </si>
  <si>
    <t>EXECUTIVE ENGINEER</t>
  </si>
  <si>
    <t>Part B-ii W/S &amp; S/F Non-Schedule Item</t>
  </si>
  <si>
    <t>Total W/S &amp; S/F Non- S.Item</t>
  </si>
  <si>
    <t>Bath Room</t>
  </si>
  <si>
    <t>1x3.0x7.0</t>
  </si>
  <si>
    <t>Providing &amp; Fixing approved quality mortice</t>
  </si>
  <si>
    <t>Lock.(S.I.No.21/P-60)</t>
  </si>
  <si>
    <t>Part B W/S &amp; S/F Non Schedule Item</t>
  </si>
  <si>
    <t>Distempering (b) Two Coats</t>
  </si>
  <si>
    <t>P/F False Ceiling</t>
  </si>
  <si>
    <t>W/S &amp; S/F Schedule Item</t>
  </si>
  <si>
    <t>P/F European W.C Commode</t>
  </si>
  <si>
    <t>P/F Squatting type W.C</t>
  </si>
  <si>
    <t>1/2" dia</t>
  </si>
  <si>
    <t>P/F UPVC Fitting</t>
  </si>
  <si>
    <t>4" dia UPVC Plug Tee</t>
  </si>
  <si>
    <t>4" dia UPVC Plain Bend</t>
  </si>
  <si>
    <t>Dismantling glazed or encaustic tiles</t>
  </si>
  <si>
    <t>1 x 2</t>
  </si>
  <si>
    <t>1 x 1</t>
  </si>
  <si>
    <t>1x2.50x7.0</t>
  </si>
  <si>
    <t>2x4.0x7.0</t>
  </si>
  <si>
    <t>1 x 4</t>
  </si>
  <si>
    <t>1x6.0x7.0</t>
  </si>
  <si>
    <t>1x20.0x20.0</t>
  </si>
  <si>
    <t>2x(20.0+20.0)x10.0</t>
  </si>
  <si>
    <t>1x5.0x4.0</t>
  </si>
  <si>
    <t>1x2.50x6.50</t>
  </si>
  <si>
    <t>Verr</t>
  </si>
  <si>
    <t>P/F Porceline Tiles</t>
  </si>
  <si>
    <t>P/F Wash Basin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</si>
  <si>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</si>
  <si>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</si>
  <si>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</si>
  <si>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</si>
  <si>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</si>
  <si>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</si>
  <si>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</si>
  <si>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</si>
  <si>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 xml:space="preserve">Providing &amp; fixing UPVC  pipe </t>
  </si>
  <si>
    <t>Bath Room Floor</t>
  </si>
  <si>
    <t>P.S Room</t>
  </si>
  <si>
    <t>Chamber</t>
  </si>
  <si>
    <t>1x3.0x4.0</t>
  </si>
  <si>
    <t>Door</t>
  </si>
  <si>
    <t>"</t>
  </si>
  <si>
    <t>3/4" dia</t>
  </si>
  <si>
    <t>1 x 6</t>
  </si>
  <si>
    <t xml:space="preserve">Supplying &amp; fixing C.P muslim shower </t>
  </si>
  <si>
    <t>with crystal head etc complete.</t>
  </si>
  <si>
    <t>(S.I.No.19(b)/P-19)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</si>
  <si>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</si>
  <si>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</si>
  <si>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</si>
  <si>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</si>
  <si>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</si>
  <si>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>1 x 3</t>
  </si>
  <si>
    <t>Cft</t>
  </si>
  <si>
    <t>R.C.C 1:2:4</t>
  </si>
  <si>
    <t>P/L 1:3:6 Cement Concrete Solid Block</t>
  </si>
  <si>
    <t xml:space="preserve">Masonry Wall 6" in thickness </t>
  </si>
  <si>
    <t xml:space="preserve">Fabrication of mild steel </t>
  </si>
  <si>
    <t>P/L 1:3:6 Block Masonry 6" Thickness</t>
  </si>
  <si>
    <t>Wash Room Wall</t>
  </si>
  <si>
    <t>P/F Iron Steel Main Gate</t>
  </si>
  <si>
    <t>P/L 1" thick Topping cement concrete</t>
  </si>
  <si>
    <t>P/F G.I Frame Chowkhat</t>
  </si>
  <si>
    <t>Bath</t>
  </si>
  <si>
    <t>1x(7.0+3.0+7.0)</t>
  </si>
  <si>
    <t>P/F 1st Class Deodar wood shutter</t>
  </si>
  <si>
    <t>Cement Plaster 1:4 upto 12' height</t>
  </si>
  <si>
    <t>Scraping</t>
  </si>
  <si>
    <t>1x3.50x7.0</t>
  </si>
  <si>
    <t>1x3.25x6.75</t>
  </si>
  <si>
    <t>1x3.0x6.50</t>
  </si>
  <si>
    <t>1x6.0x4.0</t>
  </si>
  <si>
    <t>1x3.25x6.50</t>
  </si>
  <si>
    <t>2x3.0x4.0</t>
  </si>
  <si>
    <t>13.0x4.0</t>
  </si>
  <si>
    <t>1x3.0x2.50</t>
  </si>
  <si>
    <t>1x2.50x6.0</t>
  </si>
  <si>
    <t>B/D</t>
  </si>
  <si>
    <t>Kit W</t>
  </si>
  <si>
    <t>V-W</t>
  </si>
  <si>
    <t>Bath Room Wall</t>
  </si>
  <si>
    <t>2x(6.25+7.0)x6.75</t>
  </si>
  <si>
    <t>1x6.25x7.0</t>
  </si>
  <si>
    <t>2x(7.0+5.82)x7.0</t>
  </si>
  <si>
    <t>1x7.0x5.82</t>
  </si>
  <si>
    <t>Painting old surface doors &amp; windows</t>
  </si>
  <si>
    <t>Kit</t>
  </si>
  <si>
    <t>Office</t>
  </si>
  <si>
    <t>P/F Door Lock</t>
  </si>
  <si>
    <t xml:space="preserve">P/F inposition Aluminum Channel framing </t>
  </si>
  <si>
    <t>for hinged doors</t>
  </si>
  <si>
    <t>Part A-ii Civil Work Non Schedule Item</t>
  </si>
  <si>
    <t>P/F Marble Top</t>
  </si>
  <si>
    <t>1x6.0x2.50</t>
  </si>
  <si>
    <t>P/F Paving Blocks</t>
  </si>
  <si>
    <t>P/F Wooden Cabinet</t>
  </si>
  <si>
    <t>1x6.0x2.0</t>
  </si>
  <si>
    <t>1x7.0x2.0</t>
  </si>
  <si>
    <t>P/F Wooden Wall Panneling</t>
  </si>
  <si>
    <t>2x(14.0+20.0)x7.50</t>
  </si>
  <si>
    <t>1x12.0x7.50</t>
  </si>
  <si>
    <t>2x3.75x6.75</t>
  </si>
  <si>
    <t>2x5.0x4.0</t>
  </si>
  <si>
    <t>2x2.50x6.75</t>
  </si>
  <si>
    <t>1x3.0x6.75</t>
  </si>
  <si>
    <t>P/F Aluminum Partition</t>
  </si>
  <si>
    <t>1x18.0x7.50</t>
  </si>
  <si>
    <t>2x(18.0+7.50)x0.50</t>
  </si>
  <si>
    <t>2x(13.0+7.50)x0.50</t>
  </si>
  <si>
    <t>1x13.0x7.50</t>
  </si>
  <si>
    <t>B/Sdie</t>
  </si>
  <si>
    <t>1x14.0x7.336</t>
  </si>
  <si>
    <t>1x7.0x6.82</t>
  </si>
  <si>
    <t>P/F Bath Room glazed Tiles</t>
  </si>
  <si>
    <t>Bath Wall</t>
  </si>
  <si>
    <t>Bath Floor</t>
  </si>
  <si>
    <t>P/L Matte finish</t>
  </si>
  <si>
    <t>Applying French Polish</t>
  </si>
  <si>
    <t>P/F Hydraulic Door Closure</t>
  </si>
  <si>
    <t>P/F G.I Pipe 2" dia Heacy Guage</t>
  </si>
  <si>
    <t>P/F G.I Pipe 3" dia</t>
  </si>
  <si>
    <t>P/F Flat Back lipped urinal basin</t>
  </si>
  <si>
    <t>S/F Concealed Tee Stop Cock</t>
  </si>
  <si>
    <t>S/F C.P Muslim Shower</t>
  </si>
  <si>
    <t>P/F Swan Type Piller Cock</t>
  </si>
  <si>
    <t xml:space="preserve">P/F C.I Floor Trap </t>
  </si>
  <si>
    <t>P/F Long Bib Cock</t>
  </si>
  <si>
    <t>S/F Bath Room Accessories</t>
  </si>
  <si>
    <t>P/F Steel Sainless Sink</t>
  </si>
  <si>
    <t>P/F UPVC Pipe</t>
  </si>
  <si>
    <t>RFt</t>
  </si>
  <si>
    <t>3" dia</t>
  </si>
  <si>
    <t>1x(10+10+10+10+15+15)</t>
  </si>
  <si>
    <t>4" dia UPVC Plain Elbow</t>
  </si>
  <si>
    <t>R.C.C work including all labour and material</t>
  </si>
  <si>
    <t xml:space="preserve">except the cost of steel reinforcement and its </t>
  </si>
  <si>
    <t xml:space="preserve">labour for bending and binding which will be </t>
  </si>
  <si>
    <t>paid separatelt.  This rate also includeda all</t>
  </si>
  <si>
    <t xml:space="preserve">kind of forms moulds lifting shuttering curring </t>
  </si>
  <si>
    <t>rendering and finishing the exposed surface</t>
  </si>
  <si>
    <t>including screeening and washing of shingle.</t>
  </si>
  <si>
    <t xml:space="preserve">(a) RCC work in roof slab, beams columns </t>
  </si>
  <si>
    <t xml:space="preserve">rafts lintels and other structural member laid </t>
  </si>
  <si>
    <t xml:space="preserve">in situ or precast laid in position complete in </t>
  </si>
  <si>
    <t>all respect (I) Ratio 1:2:4 90 Lbs. Cement 2 Cft.</t>
  </si>
  <si>
    <t>Sand 4Cft. Shingle 1/8" to 1/4" guage.</t>
  </si>
  <si>
    <t>(S.I.No. 6-a-i P-18).</t>
  </si>
  <si>
    <t>P.Cft.</t>
  </si>
  <si>
    <t xml:space="preserve">Fabrication of Miled steel reinforcement for </t>
  </si>
  <si>
    <t xml:space="preserve">cement concrete including cutting bendidng </t>
  </si>
  <si>
    <t>laying in position making joints and fastening</t>
  </si>
  <si>
    <t>including cost of binding wire also I/c removal</t>
  </si>
  <si>
    <t>of rust from Bars.(a) Using for Tor Bars.</t>
  </si>
  <si>
    <t>(S.I.No. 7-b P-20)</t>
  </si>
  <si>
    <t>Cwt</t>
  </si>
  <si>
    <t>P.Cwt</t>
  </si>
  <si>
    <t xml:space="preserve">Providing and laying 1 :3 : 6  Cement </t>
  </si>
  <si>
    <t xml:space="preserve">concrete solid Block masorany set in </t>
  </si>
  <si>
    <t xml:space="preserve">1 :6 cement sand mortar in plinth and </t>
  </si>
  <si>
    <t xml:space="preserve">foundation in cluding raking out joints </t>
  </si>
  <si>
    <t>and curing etc. complete.</t>
  </si>
  <si>
    <t>% Cft</t>
  </si>
  <si>
    <t xml:space="preserve">concrete solid Block masorany  wall </t>
  </si>
  <si>
    <t xml:space="preserve">above 6" in thickness set in 1 : 6 cement </t>
  </si>
  <si>
    <t xml:space="preserve">mortar in G.F ground floor superstructure </t>
  </si>
  <si>
    <t xml:space="preserve">including raking out joints &amp; curing etc, </t>
  </si>
  <si>
    <t xml:space="preserve">Making &amp; fixing steel grated door with </t>
  </si>
  <si>
    <t xml:space="preserve">1/16" thick sheeting including angle iron </t>
  </si>
  <si>
    <t xml:space="preserve">frame  2" x 2" 3/8"and 3/4" square bars </t>
  </si>
  <si>
    <t xml:space="preserve">4" centre to centre with locking arrangemtnt. </t>
  </si>
  <si>
    <t xml:space="preserve">Providing and laying 1" thick topping cement </t>
  </si>
  <si>
    <t xml:space="preserve">concrete (1:2:4 ) including Surface finishing </t>
  </si>
  <si>
    <t xml:space="preserve">and dividiing into panels: </t>
  </si>
  <si>
    <t>(a) 2" thick.(S.I.No. 16-c/P.42)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</si>
  <si>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</si>
  <si>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</si>
  <si>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</si>
  <si>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</si>
  <si>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</si>
  <si>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</si>
  <si>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</si>
  <si>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</si>
  <si>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</si>
  <si>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</si>
  <si>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</si>
  <si>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</si>
  <si>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</si>
  <si>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</si>
  <si>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</si>
  <si>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</si>
  <si>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</si>
  <si>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Cement Plaster 1:4 upto 12' Height.</t>
  </si>
  <si>
    <t>as directed by Engineer Incharge.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</si>
  <si>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</si>
  <si>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</si>
  <si>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</si>
  <si>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>S.I.No.55/P-13</t>
  </si>
  <si>
    <t>Providing &amp; fixing inposition Aluminum</t>
  </si>
  <si>
    <t xml:space="preserve">channels framing for hinged doors of </t>
  </si>
  <si>
    <t>Alcop made with 5mm thick tinted glass</t>
  </si>
  <si>
    <t xml:space="preserve">glazing (Belgium) and Alpha (japan) </t>
  </si>
  <si>
    <t>locks i/c handles,stoppers etc comp.</t>
  </si>
  <si>
    <t>(b) Deluxe Model (S.I.No.84(b)/P-108)</t>
  </si>
  <si>
    <t>Total RS.</t>
  </si>
  <si>
    <t>Total Rs.</t>
  </si>
  <si>
    <t xml:space="preserve">Providing and fixing Marble Top 1" thick 20"  </t>
  </si>
  <si>
    <t xml:space="preserve"> of chaina verona i/c P/F sink bowl size 15"x18'</t>
  </si>
  <si>
    <t xml:space="preserve"> stain less steel i/c charging of cutting ,fixing and</t>
  </si>
  <si>
    <t>making half round gola jointing with</t>
  </si>
  <si>
    <t>white cement/jally etc complete.</t>
  </si>
  <si>
    <t xml:space="preserve">P/F cement paving block flooring having  red/Grey </t>
  </si>
  <si>
    <t>size of 197x 197 60mm of city quddra cobble shape</t>
  </si>
  <si>
    <t xml:space="preserve">with  pigment having strength b/w 5000 psi to 8500 psi </t>
  </si>
  <si>
    <t>filling joints with hill sand and laying over khakka</t>
  </si>
  <si>
    <t xml:space="preserve">&amp;compacting with electric compactor etc </t>
  </si>
  <si>
    <t>complete as directed by Enginner Incharge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</si>
  <si>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</si>
  <si>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</si>
  <si>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</si>
  <si>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</si>
  <si>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</si>
  <si>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</si>
  <si>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</si>
  <si>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</si>
  <si>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</si>
  <si>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>Incharge.</t>
  </si>
  <si>
    <t>and wall of approved colour shade paste</t>
  </si>
  <si>
    <t>with underlay &amp; sovent cement</t>
  </si>
  <si>
    <t xml:space="preserve">forgien make pasting i/c panneling as </t>
  </si>
  <si>
    <t>required as approved by the competent</t>
  </si>
  <si>
    <t>authority as well as Engineer Incharge.</t>
  </si>
  <si>
    <t>P/F Wooden wall panneling for  dado</t>
  </si>
  <si>
    <t xml:space="preserve">P/F Aluminum Partition with fixed glass </t>
  </si>
  <si>
    <t xml:space="preserve">(frosted) 5mm thick using 4" lucky section </t>
  </si>
  <si>
    <t xml:space="preserve">in champion color as frame on floor or </t>
  </si>
  <si>
    <t xml:space="preserve">block masonry fixed with necessary fixtures </t>
  </si>
  <si>
    <t xml:space="preserve">rubber packing etc. The cost in/c tools &amp; </t>
  </si>
  <si>
    <t xml:space="preserve">plants used in making and carriage from </t>
  </si>
  <si>
    <t xml:space="preserve">shop to site as directed by the Engineer </t>
  </si>
  <si>
    <t xml:space="preserve">Providing &amp; Fixing Porcelain Tiles 24”x24” </t>
  </si>
  <si>
    <t>x1/4 as approved sizes specified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</si>
  <si>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</si>
  <si>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</si>
  <si>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</si>
  <si>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</si>
  <si>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</si>
  <si>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</si>
  <si>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</si>
  <si>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Providing and Fixing False ceiling of</t>
  </si>
  <si>
    <t>Gypsum Fibre board in/c. frame work of</t>
  </si>
  <si>
    <t xml:space="preserve">aluminium double channel Section hanged </t>
  </si>
  <si>
    <t xml:space="preserve">with Nails, Hooks, wire to ceiling etc. as </t>
  </si>
  <si>
    <t>directed by the Consultant.</t>
  </si>
  <si>
    <t xml:space="preserve">P/L Bath room tiles glazed or matt glazed,  make     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</si>
  <si>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</si>
  <si>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</si>
  <si>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</si>
  <si>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</si>
  <si>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 xml:space="preserve">French Polish of Door Windows &amp; ventilators and    </t>
  </si>
  <si>
    <t>stair floor (Walls) work etc including repairing surface</t>
  </si>
  <si>
    <t xml:space="preserve"> and polishing by using latch dana, spirit, thinner, </t>
  </si>
  <si>
    <t xml:space="preserve"> pigment ICI lacquer,regmal, (Germany) malmal,</t>
  </si>
  <si>
    <t xml:space="preserve"> ICI Saller, Tarpauine Oil, Polishing as per satisfaction </t>
  </si>
  <si>
    <t xml:space="preserve">of competent authorityetc complete.  </t>
  </si>
  <si>
    <t>Providing and fixing hydraulic door</t>
  </si>
  <si>
    <t>closure best quality etc complete.</t>
  </si>
  <si>
    <t>P/F G.I Pipe 2" dia Heavy Guage fix on</t>
  </si>
  <si>
    <t>wall etc with special iron clamps with</t>
  </si>
  <si>
    <t xml:space="preserve"> nuts bolts and breaking through wall</t>
  </si>
  <si>
    <t xml:space="preserve">and roof making good etc the cost also </t>
  </si>
  <si>
    <t>includes removing of old existing rusted</t>
  </si>
  <si>
    <t xml:space="preserve">pipe with accessories the cost also </t>
  </si>
  <si>
    <t>includes labour with scaffolding etc</t>
  </si>
  <si>
    <t>P/F G.I Pipe 3" dia Heavy Guage fix on</t>
  </si>
  <si>
    <t>Total NSI</t>
  </si>
  <si>
    <t>Providing &amp; fixing squating type white</t>
  </si>
  <si>
    <t>glazed earthen ware w.c pan with i/c</t>
  </si>
  <si>
    <t>the cost of flushing cistern with int:</t>
  </si>
  <si>
    <t>fitting and flush pipe with bend and</t>
  </si>
  <si>
    <t>making requisite number of holes in</t>
  </si>
  <si>
    <t>making good in cement concrete with</t>
  </si>
  <si>
    <t xml:space="preserve">1:2:4 (ii)with 4" dia white glazed </t>
  </si>
  <si>
    <t>earthen ware trap &amp; plastic thumble.</t>
  </si>
  <si>
    <t>(S.I.No.1(a)ii/P-1)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</si>
  <si>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</si>
  <si>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</si>
  <si>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</si>
  <si>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</si>
  <si>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</si>
  <si>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 xml:space="preserve">Providing &amp; fixing flat back lipped from urinal </t>
  </si>
  <si>
    <t xml:space="preserve">basin (of not less than 17" in height) of white </t>
  </si>
  <si>
    <t xml:space="preserve">glazed earthen ware complete with and I/c the cost of </t>
  </si>
  <si>
    <t xml:space="preserve">1 gallon C.I automatic flushing cistern with </t>
  </si>
  <si>
    <t xml:space="preserve">fittings, a pot cock C.I or W.I.brackets standard </t>
  </si>
  <si>
    <t>flush Pipe with fitting standard waste pipe</t>
  </si>
  <si>
    <t xml:space="preserve"> (enamelled iron ) connection complete and </t>
  </si>
  <si>
    <t xml:space="preserve">making requisite number of holes in walls plinth </t>
  </si>
  <si>
    <t xml:space="preserve">&amp; floor for Pipe connection &amp; making  good </t>
  </si>
  <si>
    <t>in cement concerete 1 : 2 : 4.  (Standard Pattern.)</t>
  </si>
  <si>
    <t xml:space="preserve">(a) Supplying &amp; Fixing swan type piller cock </t>
  </si>
  <si>
    <t>of Superior quality single c.p. head 1/2" dia.</t>
  </si>
  <si>
    <t xml:space="preserve">Providing &amp; fixing steel sinks stainless local make </t>
  </si>
  <si>
    <t xml:space="preserve">complete with cast iron or wraught iron brackets </t>
  </si>
  <si>
    <t xml:space="preserve">6 inches built in wall, 1-1/2" c.p bubber plug chrome </t>
  </si>
  <si>
    <t xml:space="preserve">plated brass chain, 1-1/2" c.p brass waste, with 1-1/2" </t>
  </si>
  <si>
    <t>P.V.C. waste pipe &amp; making requisite number of holes</t>
  </si>
  <si>
    <t xml:space="preserve"> in wall &amp; plinth &amp; floor for pipe connection &amp; </t>
  </si>
  <si>
    <t>making good in cement concrete 1 : 2: 4.</t>
  </si>
  <si>
    <t>4" dia Plain Elbow</t>
  </si>
  <si>
    <t>PART (A) Civil Work)(i) Schedule Item</t>
  </si>
  <si>
    <t xml:space="preserve">complete as directed by Engineer Inch </t>
  </si>
  <si>
    <t>M/R TO SINDH SERVICES HOSPITAL KARACHI (OPD BLOCK G.FLOOR, FIRST FLOOR AND SECOND FLOOR.</t>
  </si>
  <si>
    <t>Cols</t>
  </si>
  <si>
    <t>2x12.0x0.67x2.0</t>
  </si>
  <si>
    <t>2x13.0x0.67x2.0</t>
  </si>
  <si>
    <t>2x12.0x0.50x7.0</t>
  </si>
  <si>
    <t>2x13.0x0.50x7.0</t>
  </si>
  <si>
    <t>Pimp Room + G.F + F.F</t>
  </si>
  <si>
    <t>6x4.0x8.0</t>
  </si>
  <si>
    <t xml:space="preserve">Pump Room </t>
  </si>
  <si>
    <t>2nd Floor Tower</t>
  </si>
  <si>
    <t>1x12.0x13.0</t>
  </si>
  <si>
    <t>1x14.0x12.0</t>
  </si>
  <si>
    <t>Pump Room</t>
  </si>
  <si>
    <t>Bath G.F + F.F + S.Floor</t>
  </si>
  <si>
    <t>Dr Duty Room F.Floor</t>
  </si>
  <si>
    <t>4x(7.0+2.50+7.0)</t>
  </si>
  <si>
    <t>3x(7.0+3.0+7.0)</t>
  </si>
  <si>
    <t>7x3.75x7.0</t>
  </si>
  <si>
    <t>4x2.50x7.0</t>
  </si>
  <si>
    <t>Tower 2nd Floor</t>
  </si>
  <si>
    <t>2x2(12.0+14.0)x8.0</t>
  </si>
  <si>
    <t>2x2(13.0+14.0)x9.0</t>
  </si>
  <si>
    <t>M.S Office</t>
  </si>
  <si>
    <t>O.S office</t>
  </si>
  <si>
    <t>D.M Roof F.F</t>
  </si>
  <si>
    <t>Dr Duty S.F</t>
  </si>
  <si>
    <t>2x(14.50+7.33)x10.0</t>
  </si>
  <si>
    <t>12x2x(12.0+7.50)x10.0</t>
  </si>
  <si>
    <t>8x2(16.0+14.0)x10.0</t>
  </si>
  <si>
    <t>off nurses</t>
  </si>
  <si>
    <t>Dr Duty Room F.F</t>
  </si>
  <si>
    <t>1x14.50x7.33</t>
  </si>
  <si>
    <t>12x12.0x7.50</t>
  </si>
  <si>
    <t>8x16.0x14.0</t>
  </si>
  <si>
    <t>Bath Room M.S Office</t>
  </si>
  <si>
    <t>2x(8.0+8.0)x8.0</t>
  </si>
  <si>
    <t>1x8.0x8.0</t>
  </si>
  <si>
    <t>7x2x3.75x7.0</t>
  </si>
  <si>
    <t>4x2x2.50x7.0</t>
  </si>
  <si>
    <t>G.F + F.F + S.F</t>
  </si>
  <si>
    <t>1x4.0x7.0</t>
  </si>
  <si>
    <t>1x52.0x9.0</t>
  </si>
  <si>
    <t>Roof</t>
  </si>
  <si>
    <t>1st Floor</t>
  </si>
  <si>
    <t>2x12.0x8.0</t>
  </si>
  <si>
    <t>4x12.0x7.50</t>
  </si>
  <si>
    <t>4x2x(12.0+7.50)x0.50</t>
  </si>
  <si>
    <t>Quantity same as Item No. 10</t>
  </si>
  <si>
    <t>Qty same as NSI no. 03</t>
  </si>
  <si>
    <t>Qty same as NSI no. 04</t>
  </si>
  <si>
    <t>3rd Floor O.H.T</t>
  </si>
  <si>
    <t>G.Floor</t>
  </si>
  <si>
    <t>2x(40.0+21.0)</t>
  </si>
  <si>
    <t>1x100.0+100.0+10.0</t>
  </si>
  <si>
    <t>UGT to O.H.Tank</t>
  </si>
  <si>
    <t>10.0+63.0+21.0+40.0+10.0</t>
  </si>
  <si>
    <t>1 x 5</t>
  </si>
  <si>
    <t>2x(6+6+10+10+6+6+10+8+10)</t>
  </si>
  <si>
    <t>5x(10.0+10.0)</t>
  </si>
  <si>
    <t>4x20.00</t>
  </si>
  <si>
    <t>4x1.50x0.67x9.0</t>
  </si>
  <si>
    <t>Beam L.B</t>
  </si>
  <si>
    <t>2x14.0x0.67x2.0</t>
  </si>
  <si>
    <t>1x14.0x15.0x0.50</t>
  </si>
  <si>
    <t>Qty of R.C.C</t>
  </si>
  <si>
    <t>210.86 x 6 / 112</t>
  </si>
  <si>
    <t>2 x 3 x 3</t>
  </si>
  <si>
    <t>OPD verr</t>
  </si>
  <si>
    <t>3x4.0x8.0</t>
  </si>
  <si>
    <t>DMS Office1,2</t>
  </si>
  <si>
    <t>3x7.0x2.0</t>
  </si>
  <si>
    <t>4x10.0x2.0</t>
  </si>
  <si>
    <t>DMS Room</t>
  </si>
  <si>
    <t>2x(22.0+14.0)x7.50</t>
  </si>
  <si>
    <t>2x130.0x4.0</t>
  </si>
  <si>
    <t>5x3.0x6.75</t>
  </si>
  <si>
    <t>S.f D.M.S Roof</t>
  </si>
  <si>
    <t>S.f Verr</t>
  </si>
  <si>
    <t>F.f Dr Duty Room</t>
  </si>
  <si>
    <t>G.F OPD Room</t>
  </si>
  <si>
    <t>6x2x(12.0+8.0)x3.0</t>
  </si>
  <si>
    <t>6x12.0x8.0</t>
  </si>
  <si>
    <t xml:space="preserve">equivalent&amp; then applying matte finish paint 2 coats </t>
  </si>
  <si>
    <t>having size 12”x24” imported make (Spanish/Italian)or</t>
  </si>
  <si>
    <t>' SCHEDULE " B"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</si>
  <si>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</si>
  <si>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</si>
  <si>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</si>
  <si>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</si>
  <si>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</si>
  <si>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</si>
  <si>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>PART B</t>
  </si>
  <si>
    <t>Cost of W/S &amp; S/F Schedule Item</t>
  </si>
  <si>
    <t>PART B-ii</t>
  </si>
  <si>
    <t>Cost of Non Schedule Item W/S &amp; S/F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</si>
  <si>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</si>
  <si>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</si>
  <si>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</si>
  <si>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</si>
  <si>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</si>
  <si>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</si>
  <si>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</si>
  <si>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</si>
  <si>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</si>
  <si>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</si>
  <si>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</si>
  <si>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</si>
  <si>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</si>
  <si>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</si>
  <si>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</si>
  <si>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</si>
  <si>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</si>
  <si>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</si>
  <si>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Rupees Five Thousand One and Seventy Ps Only</t>
  </si>
  <si>
    <t>Rupees Three Hundred Thirty Seven Only</t>
  </si>
  <si>
    <t>Rupees Forten Thousand Two Hundred Sixty Eight and fifty Three</t>
  </si>
  <si>
    <t>Rupees Forteen Thousand Six Hundred Twenty One and Forty Four Only</t>
  </si>
  <si>
    <t>Rupees Seven Hundred Twenty Six and Seventy Two Only</t>
  </si>
  <si>
    <t>Rupees Three Thousand Two Hundred Seventy Five and Fifty Only</t>
  </si>
  <si>
    <t>Rupees Two Hundred Twenty Eight and Ninty Ps Only</t>
  </si>
  <si>
    <t>Rupees Seven Hundred and Twenty Three Ps Only</t>
  </si>
  <si>
    <t>Rupees Three Thousand Fifteen and Seventy Six Ps Only</t>
  </si>
  <si>
    <t>Rupees Two Hundred Twenty Six and Eighty Eight Ps Only</t>
  </si>
  <si>
    <t>Rupees One Thousand Forty Three and Ninty Ps Only</t>
  </si>
  <si>
    <t>Rupees Seven Hundred Eighty Six and Fifty Only</t>
  </si>
  <si>
    <t>Rupees Eleven Hundred Sixty and Six Ps Only</t>
  </si>
  <si>
    <t>Rupees Seventeen Hundred Eighty Six and Thirteen Only</t>
  </si>
  <si>
    <t>Rupees Fifteen Hundred Seven and Sixty Six Only</t>
  </si>
  <si>
    <t>Distempering (c) Two Coats.(S.I.24(C)/54)</t>
  </si>
  <si>
    <t>(c ) 3/4" thick (S.I.No.11(c)/P-52</t>
  </si>
  <si>
    <t>Gelow Or Above</t>
  </si>
  <si>
    <t>Rupees Five Thousand Eighty Eight and Twenty Ps</t>
  </si>
  <si>
    <t>Rupees Four Thousand Nine Hundred Twenty Eight Only</t>
  </si>
  <si>
    <t>Rupees Eleven Thousand Four Hundred Seventy Seven and Forty Only</t>
  </si>
  <si>
    <t>Rupees Four Thousand Four Hundred Forty Four and Seventy Ps Only</t>
  </si>
  <si>
    <t>Rupees Eight Hundred Eighty Nine and Forty Six Only</t>
  </si>
  <si>
    <t>Rupees Three Thousand Four Hundred thirty Two Only</t>
  </si>
  <si>
    <t>Rupees Seven Hundred Ninty Five and Thirty Ps Only</t>
  </si>
  <si>
    <t>Rupees Two Thousand Forty Two and Forty Three Only</t>
  </si>
  <si>
    <t>Rupees Eleven Hundred Nine and Forty Six Only</t>
  </si>
  <si>
    <t>Rupees Ten Thousand Three Hundred Twenty Two and Forty Ps</t>
  </si>
  <si>
    <t>Rupees Five Thousand Fifty two and Thirty Ps Only</t>
  </si>
  <si>
    <t>Above &amp; Below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</si>
</sst>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6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11"/>
      <color rgb="FF000000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i/>
      <sz val="10"/>
      <name val="Arial"/>
      <family val="2"/>
    </font>
    <font>
      <i/>
      <sz val="11"/>
      <name val="Arial"/>
      <family val="2"/>
    </font>
    <font>
      <b/>
      <i/>
      <sz val="14"/>
      <name val="Times New Roman"/>
      <family val="1"/>
    </font>
    <font>
      <i/>
      <sz val="9"/>
      <name val="Times New Roman"/>
      <family val="1"/>
    </font>
    <font>
      <b/>
      <i/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2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22" fillId="0" borderId="0" xfId="0" applyFont="1" applyFill="1"/>
    <xf numFmtId="0" fontId="23" fillId="0" borderId="0" xfId="0" applyFont="1" applyFill="1" applyBorder="1" applyAlignment="1"/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2" fontId="23" fillId="0" borderId="0" xfId="0" applyNumberFormat="1" applyFont="1" applyAlignment="1">
      <alignment horizontal="right"/>
    </xf>
    <xf numFmtId="0" fontId="23" fillId="0" borderId="0" xfId="0" applyFont="1" applyAlignment="1"/>
    <xf numFmtId="0" fontId="25" fillId="0" borderId="0" xfId="0" applyFont="1" applyBorder="1" applyAlignment="1">
      <alignment horizontal="left"/>
    </xf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wrapText="1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>
      <alignment vertical="top"/>
    </xf>
    <xf numFmtId="0" fontId="27" fillId="0" borderId="0" xfId="0" quotePrefix="1" applyFont="1" applyFill="1" applyAlignment="1">
      <alignment horizontal="left"/>
    </xf>
    <xf numFmtId="0" fontId="27" fillId="0" borderId="0" xfId="0" applyFont="1" applyFill="1" applyAlignment="1"/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1" fontId="23" fillId="0" borderId="0" xfId="0" applyNumberFormat="1" applyFont="1" applyFill="1" applyBorder="1" applyAlignment="1">
      <alignment horizontal="righ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8" fillId="0" borderId="0" xfId="0" applyFont="1"/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0" fontId="27" fillId="0" borderId="0" xfId="0" applyFont="1" applyFill="1" applyAlignment="1">
      <alignment horizontal="left" vertical="top" wrapText="1"/>
    </xf>
    <xf numFmtId="1" fontId="23" fillId="0" borderId="0" xfId="0" applyNumberFormat="1" applyFont="1" applyBorder="1" applyAlignment="1">
      <alignment wrapText="1"/>
    </xf>
    <xf numFmtId="0" fontId="27" fillId="0" borderId="0" xfId="0" applyFont="1" applyFill="1" applyAlignment="1">
      <alignment horizontal="left" vertical="top"/>
    </xf>
    <xf numFmtId="165" fontId="27" fillId="0" borderId="0" xfId="1" quotePrefix="1" applyNumberFormat="1" applyFont="1" applyBorder="1" applyAlignment="1">
      <alignment horizontal="right" wrapText="1"/>
    </xf>
    <xf numFmtId="0" fontId="27" fillId="0" borderId="0" xfId="0" quotePrefix="1" applyFont="1" applyBorder="1" applyAlignment="1">
      <alignment horizontal="left"/>
    </xf>
    <xf numFmtId="165" fontId="23" fillId="0" borderId="4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0" fontId="27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7" fillId="0" borderId="0" xfId="0" applyFont="1" applyFill="1" applyBorder="1" applyAlignment="1"/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center"/>
    </xf>
    <xf numFmtId="166" fontId="27" fillId="0" borderId="0" xfId="0" quotePrefix="1" applyNumberFormat="1" applyFont="1" applyFill="1" applyBorder="1" applyAlignment="1">
      <alignment horizontal="left"/>
    </xf>
    <xf numFmtId="0" fontId="27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0" fontId="27" fillId="0" borderId="0" xfId="0" applyFont="1" applyBorder="1" applyAlignment="1"/>
    <xf numFmtId="0" fontId="22" fillId="0" borderId="0" xfId="0" quotePrefix="1" applyFont="1" applyAlignment="1">
      <alignment horizontal="center"/>
    </xf>
    <xf numFmtId="0" fontId="25" fillId="0" borderId="5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9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7" fillId="0" borderId="0" xfId="0" applyFont="1" applyFill="1" applyBorder="1" applyAlignment="1">
      <alignment wrapText="1"/>
    </xf>
    <xf numFmtId="0" fontId="27" fillId="0" borderId="0" xfId="0" applyFont="1" applyFill="1" applyBorder="1" applyAlignment="1">
      <alignment horizontal="left"/>
    </xf>
    <xf numFmtId="1" fontId="23" fillId="0" borderId="0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Border="1" applyAlignment="1">
      <alignment horizontal="right"/>
    </xf>
    <xf numFmtId="0" fontId="23" fillId="0" borderId="0" xfId="0" quotePrefix="1" applyFont="1" applyBorder="1" applyAlignment="1">
      <alignment horizontal="left"/>
    </xf>
    <xf numFmtId="1" fontId="27" fillId="0" borderId="0" xfId="0" applyNumberFormat="1" applyFont="1" applyAlignment="1">
      <alignment horizontal="right"/>
    </xf>
    <xf numFmtId="0" fontId="21" fillId="0" borderId="0" xfId="0" applyFont="1" applyAlignment="1">
      <alignment horizontal="center"/>
    </xf>
    <xf numFmtId="2" fontId="25" fillId="0" borderId="0" xfId="0" applyNumberFormat="1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quotePrefix="1" applyFont="1" applyAlignment="1">
      <alignment horizontal="center"/>
    </xf>
    <xf numFmtId="165" fontId="21" fillId="0" borderId="0" xfId="1" quotePrefix="1" applyNumberFormat="1" applyFont="1" applyAlignment="1">
      <alignment horizontal="right" vertical="top"/>
    </xf>
    <xf numFmtId="0" fontId="21" fillId="0" borderId="0" xfId="0" quotePrefix="1" applyFont="1" applyAlignment="1">
      <alignment horizontal="left"/>
    </xf>
    <xf numFmtId="0" fontId="25" fillId="0" borderId="0" xfId="0" applyFont="1" applyAlignment="1">
      <alignment horizontal="left"/>
    </xf>
    <xf numFmtId="41" fontId="21" fillId="0" borderId="0" xfId="1" applyNumberFormat="1" applyFont="1" applyAlignment="1">
      <alignment horizontal="right"/>
    </xf>
    <xf numFmtId="2" fontId="25" fillId="0" borderId="0" xfId="0" applyNumberFormat="1" applyFont="1" applyBorder="1" applyAlignment="1">
      <alignment horizontal="right"/>
    </xf>
    <xf numFmtId="0" fontId="21" fillId="0" borderId="0" xfId="0" quotePrefix="1" applyFont="1"/>
    <xf numFmtId="0" fontId="23" fillId="0" borderId="0" xfId="3" applyFont="1" applyBorder="1" applyAlignment="1">
      <alignment horizontal="center"/>
    </xf>
    <xf numFmtId="0" fontId="27" fillId="0" borderId="0" xfId="3" applyFont="1" applyBorder="1" applyAlignment="1">
      <alignment horizontal="left"/>
    </xf>
    <xf numFmtId="0" fontId="23" fillId="0" borderId="0" xfId="3" applyFont="1" applyBorder="1" applyAlignment="1">
      <alignment horizontal="left"/>
    </xf>
    <xf numFmtId="0" fontId="27" fillId="0" borderId="0" xfId="3" applyFont="1"/>
    <xf numFmtId="2" fontId="23" fillId="0" borderId="0" xfId="3" applyNumberFormat="1" applyFont="1" applyBorder="1" applyAlignment="1">
      <alignment wrapText="1"/>
    </xf>
    <xf numFmtId="0" fontId="27" fillId="0" borderId="0" xfId="3" applyFont="1" applyAlignment="1">
      <alignment horizontal="left" wrapText="1"/>
    </xf>
    <xf numFmtId="0" fontId="27" fillId="0" borderId="0" xfId="3" applyFont="1" applyAlignment="1">
      <alignment horizontal="right" wrapText="1"/>
    </xf>
    <xf numFmtId="0" fontId="27" fillId="0" borderId="0" xfId="3" quotePrefix="1" applyFont="1" applyAlignment="1">
      <alignment wrapText="1"/>
    </xf>
    <xf numFmtId="166" fontId="27" fillId="0" borderId="0" xfId="3" applyNumberFormat="1" applyFont="1" applyBorder="1" applyAlignment="1">
      <alignment horizontal="left"/>
    </xf>
    <xf numFmtId="0" fontId="27" fillId="0" borderId="0" xfId="3" applyFont="1" applyAlignment="1">
      <alignment horizontal="center" wrapText="1"/>
    </xf>
    <xf numFmtId="165" fontId="27" fillId="0" borderId="0" xfId="2" quotePrefix="1" applyNumberFormat="1" applyFont="1" applyAlignment="1">
      <alignment horizontal="right" wrapText="1"/>
    </xf>
    <xf numFmtId="0" fontId="27" fillId="0" borderId="0" xfId="3" quotePrefix="1" applyFont="1" applyAlignment="1">
      <alignment horizontal="left"/>
    </xf>
    <xf numFmtId="1" fontId="23" fillId="0" borderId="0" xfId="0" applyNumberFormat="1" applyFont="1" applyAlignment="1">
      <alignment horizontal="right"/>
    </xf>
    <xf numFmtId="0" fontId="30" fillId="0" borderId="0" xfId="0" applyFont="1" applyAlignment="1"/>
    <xf numFmtId="0" fontId="30" fillId="0" borderId="0" xfId="0" applyFont="1" applyBorder="1" applyAlignment="1"/>
    <xf numFmtId="0" fontId="30" fillId="0" borderId="0" xfId="0" applyFont="1" applyBorder="1" applyAlignment="1">
      <alignment horizontal="lef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vertical="top"/>
    </xf>
    <xf numFmtId="0" fontId="23" fillId="0" borderId="4" xfId="0" applyFont="1" applyBorder="1" applyAlignment="1">
      <alignment horizontal="right"/>
    </xf>
    <xf numFmtId="164" fontId="27" fillId="0" borderId="0" xfId="0" applyNumberFormat="1" applyFont="1" applyBorder="1" applyAlignment="1">
      <alignment vertical="top"/>
    </xf>
    <xf numFmtId="0" fontId="31" fillId="0" borderId="0" xfId="0" applyFont="1"/>
    <xf numFmtId="0" fontId="32" fillId="0" borderId="0" xfId="0" applyFont="1"/>
    <xf numFmtId="164" fontId="23" fillId="0" borderId="0" xfId="0" applyNumberFormat="1" applyFont="1" applyBorder="1" applyAlignment="1">
      <alignment vertical="top"/>
    </xf>
    <xf numFmtId="2" fontId="23" fillId="0" borderId="0" xfId="0" applyNumberFormat="1" applyFont="1" applyBorder="1" applyAlignment="1">
      <alignment horizontal="right"/>
    </xf>
    <xf numFmtId="0" fontId="23" fillId="0" borderId="0" xfId="0" applyFont="1" applyBorder="1" applyAlignment="1"/>
    <xf numFmtId="43" fontId="27" fillId="0" borderId="0" xfId="1" quotePrefix="1" applyNumberFormat="1" applyFont="1" applyFill="1" applyBorder="1" applyAlignment="1">
      <alignment horizontal="right" vertical="top"/>
    </xf>
    <xf numFmtId="165" fontId="27" fillId="0" borderId="0" xfId="2" quotePrefix="1" applyNumberFormat="1" applyFont="1" applyFill="1" applyAlignment="1">
      <alignment horizontal="right" vertical="top"/>
    </xf>
    <xf numFmtId="165" fontId="23" fillId="0" borderId="0" xfId="1" quotePrefix="1" applyNumberFormat="1" applyFont="1" applyFill="1" applyAlignment="1">
      <alignment horizontal="right" vertical="top"/>
    </xf>
    <xf numFmtId="0" fontId="23" fillId="0" borderId="4" xfId="0" applyFont="1" applyFill="1" applyBorder="1"/>
    <xf numFmtId="0" fontId="23" fillId="0" borderId="0" xfId="0" applyFont="1" applyFill="1" applyBorder="1"/>
    <xf numFmtId="2" fontId="23" fillId="0" borderId="0" xfId="0" applyNumberFormat="1" applyFont="1" applyFill="1" applyBorder="1"/>
    <xf numFmtId="0" fontId="27" fillId="0" borderId="0" xfId="0" applyNumberFormat="1" applyFont="1" applyFill="1"/>
    <xf numFmtId="165" fontId="23" fillId="0" borderId="0" xfId="0" applyNumberFormat="1" applyFont="1" applyFill="1" applyBorder="1"/>
    <xf numFmtId="0" fontId="23" fillId="0" borderId="0" xfId="0" quotePrefix="1" applyFont="1" applyFill="1" applyBorder="1" applyAlignment="1">
      <alignment horizontal="left"/>
    </xf>
    <xf numFmtId="0" fontId="23" fillId="0" borderId="4" xfId="0" applyFont="1" applyBorder="1" applyAlignment="1">
      <alignment vertical="top"/>
    </xf>
    <xf numFmtId="43" fontId="27" fillId="0" borderId="0" xfId="1" quotePrefix="1" applyNumberFormat="1" applyFont="1" applyFill="1" applyAlignment="1">
      <alignment horizontal="right" vertical="top"/>
    </xf>
    <xf numFmtId="0" fontId="25" fillId="0" borderId="4" xfId="0" applyFont="1" applyBorder="1" applyAlignment="1">
      <alignment horizontal="left"/>
    </xf>
    <xf numFmtId="0" fontId="23" fillId="0" borderId="4" xfId="0" applyFont="1" applyBorder="1" applyAlignment="1">
      <alignment horizontal="center"/>
    </xf>
    <xf numFmtId="2" fontId="23" fillId="0" borderId="0" xfId="0" applyNumberFormat="1" applyFont="1" applyAlignment="1">
      <alignment vertical="top"/>
    </xf>
    <xf numFmtId="2" fontId="25" fillId="0" borderId="0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quotePrefix="1" applyFont="1" applyAlignment="1">
      <alignment vertical="center"/>
    </xf>
    <xf numFmtId="166" fontId="21" fillId="0" borderId="0" xfId="0" applyNumberFormat="1" applyFont="1" applyAlignment="1">
      <alignment vertical="center"/>
    </xf>
    <xf numFmtId="165" fontId="21" fillId="0" borderId="0" xfId="1" quotePrefix="1" applyNumberFormat="1" applyFont="1" applyAlignment="1">
      <alignment vertical="center"/>
    </xf>
    <xf numFmtId="0" fontId="29" fillId="0" borderId="0" xfId="0" applyFont="1" applyAlignment="1"/>
    <xf numFmtId="0" fontId="29" fillId="0" borderId="0" xfId="0" applyFont="1" applyBorder="1" applyAlignment="1"/>
    <xf numFmtId="0" fontId="29" fillId="0" borderId="0" xfId="0" applyFont="1" applyBorder="1" applyAlignment="1">
      <alignment horizontal="left"/>
    </xf>
    <xf numFmtId="12" fontId="24" fillId="0" borderId="0" xfId="0" applyNumberFormat="1" applyFont="1" applyAlignment="1">
      <alignment horizontal="justify" vertical="top" wrapText="1"/>
    </xf>
    <xf numFmtId="1" fontId="23" fillId="0" borderId="0" xfId="0" applyNumberFormat="1" applyFont="1" applyBorder="1" applyAlignment="1">
      <alignment horizontal="center" wrapText="1"/>
    </xf>
    <xf numFmtId="1" fontId="23" fillId="0" borderId="0" xfId="0" applyNumberFormat="1" applyFont="1" applyBorder="1" applyAlignment="1">
      <alignment horizontal="center" wrapText="1"/>
    </xf>
    <xf numFmtId="0" fontId="33" fillId="0" borderId="3" xfId="0" applyFont="1" applyFill="1" applyBorder="1"/>
    <xf numFmtId="1" fontId="33" fillId="0" borderId="7" xfId="0" applyNumberFormat="1" applyFont="1" applyBorder="1" applyAlignment="1">
      <alignment wrapText="1"/>
    </xf>
    <xf numFmtId="0" fontId="23" fillId="0" borderId="0" xfId="0" applyFont="1" applyFill="1"/>
    <xf numFmtId="0" fontId="23" fillId="0" borderId="0" xfId="0" applyFont="1" applyAlignment="1">
      <alignment horizontal="left"/>
    </xf>
    <xf numFmtId="166" fontId="23" fillId="0" borderId="0" xfId="0" applyNumberFormat="1" applyFont="1" applyBorder="1" applyAlignment="1">
      <alignment horizontal="left"/>
    </xf>
    <xf numFmtId="0" fontId="34" fillId="0" borderId="0" xfId="0" applyFont="1" applyFill="1"/>
    <xf numFmtId="0" fontId="30" fillId="0" borderId="0" xfId="0" applyFont="1" applyFill="1"/>
    <xf numFmtId="165" fontId="23" fillId="0" borderId="0" xfId="1" quotePrefix="1" applyNumberFormat="1" applyFont="1" applyAlignment="1">
      <alignment horizontal="right" wrapText="1"/>
    </xf>
    <xf numFmtId="2" fontId="30" fillId="0" borderId="0" xfId="0" applyNumberFormat="1" applyFont="1" applyFill="1" applyBorder="1" applyAlignment="1">
      <alignment horizontal="left"/>
    </xf>
    <xf numFmtId="165" fontId="23" fillId="0" borderId="0" xfId="1" quotePrefix="1" applyNumberFormat="1" applyFont="1" applyFill="1" applyBorder="1" applyAlignment="1">
      <alignment horizontal="right" vertical="top"/>
    </xf>
    <xf numFmtId="0" fontId="14" fillId="0" borderId="0" xfId="0" applyFont="1" applyAlignment="1">
      <alignment horizontal="right" vertical="top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0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top"/>
    </xf>
    <xf numFmtId="12" fontId="24" fillId="0" borderId="0" xfId="0" applyNumberFormat="1" applyFont="1" applyAlignment="1">
      <alignment horizontal="justify" vertical="top" wrapText="1"/>
    </xf>
    <xf numFmtId="0" fontId="23" fillId="0" borderId="4" xfId="0" applyFont="1" applyBorder="1" applyAlignment="1">
      <alignment horizontal="center"/>
    </xf>
    <xf numFmtId="0" fontId="23" fillId="0" borderId="4" xfId="0" applyFont="1" applyBorder="1" applyAlignment="1">
      <alignment horizontal="center" vertical="top"/>
    </xf>
    <xf numFmtId="2" fontId="23" fillId="0" borderId="4" xfId="0" applyNumberFormat="1" applyFont="1" applyBorder="1" applyAlignment="1">
      <alignment horizontal="center"/>
    </xf>
    <xf numFmtId="2" fontId="21" fillId="0" borderId="0" xfId="0" applyNumberFormat="1" applyFont="1" applyBorder="1" applyAlignment="1">
      <alignment horizontal="center"/>
    </xf>
    <xf numFmtId="2" fontId="34" fillId="0" borderId="0" xfId="0" applyNumberFormat="1" applyFont="1" applyFill="1" applyBorder="1" applyAlignment="1">
      <alignment horizontal="center"/>
    </xf>
    <xf numFmtId="2" fontId="29" fillId="0" borderId="0" xfId="0" applyNumberFormat="1" applyFont="1" applyFill="1" applyBorder="1" applyAlignment="1">
      <alignment horizontal="right"/>
    </xf>
    <xf numFmtId="2" fontId="27" fillId="0" borderId="0" xfId="0" applyNumberFormat="1" applyFont="1" applyFill="1" applyBorder="1" applyAlignment="1">
      <alignment horizontal="center"/>
    </xf>
    <xf numFmtId="2" fontId="23" fillId="0" borderId="0" xfId="0" applyNumberFormat="1" applyFont="1" applyFill="1" applyBorder="1" applyAlignment="1">
      <alignment horizontal="center"/>
    </xf>
    <xf numFmtId="0" fontId="2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" fontId="35" fillId="0" borderId="0" xfId="0" applyNumberFormat="1" applyFont="1" applyFill="1" applyBorder="1" applyAlignment="1">
      <alignment horizontal="left"/>
    </xf>
    <xf numFmtId="2" fontId="30" fillId="0" borderId="0" xfId="0" applyNumberFormat="1" applyFont="1" applyFill="1" applyBorder="1" applyAlignment="1">
      <alignment horizontal="center"/>
    </xf>
    <xf numFmtId="1" fontId="23" fillId="0" borderId="0" xfId="0" applyNumberFormat="1" applyFont="1" applyBorder="1" applyAlignment="1">
      <alignment horizontal="center" wrapText="1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21"/>
      <c r="E3" s="33" t="s">
        <v>25</v>
      </c>
    </row>
    <row r="4" spans="2:8" ht="15">
      <c r="B4" s="22"/>
      <c r="C4" s="21"/>
      <c r="D4" s="21"/>
      <c r="E4" s="21"/>
    </row>
    <row r="5" spans="2:8" ht="15">
      <c r="B5" s="22" t="s">
        <v>26</v>
      </c>
      <c r="E5" s="22" t="s">
        <v>27</v>
      </c>
    </row>
    <row r="6" spans="2:8" ht="15">
      <c r="B6" s="22"/>
      <c r="E6" s="22"/>
    </row>
    <row r="7" spans="2:8" ht="15">
      <c r="B7" s="22" t="s">
        <v>28</v>
      </c>
      <c r="E7" s="22" t="s">
        <v>29</v>
      </c>
    </row>
    <row r="8" spans="2:8" ht="15">
      <c r="B8" s="22"/>
      <c r="E8" s="22"/>
    </row>
    <row r="9" spans="2:8" ht="15">
      <c r="B9" s="22" t="s">
        <v>30</v>
      </c>
      <c r="E9" s="22" t="s">
        <v>31</v>
      </c>
    </row>
    <row r="10" spans="2:8" ht="15">
      <c r="B10" s="22"/>
      <c r="E10" s="22"/>
    </row>
    <row r="11" spans="2:8" ht="15">
      <c r="B11" s="22" t="s">
        <v>32</v>
      </c>
      <c r="E11" s="22" t="s">
        <v>47</v>
      </c>
    </row>
    <row r="12" spans="2:8" ht="15">
      <c r="B12" s="22"/>
      <c r="D12" s="22"/>
      <c r="E12" s="22"/>
    </row>
    <row r="13" spans="2:8" ht="15.75" customHeight="1">
      <c r="B13" s="22" t="s">
        <v>33</v>
      </c>
      <c r="E13" s="234" t="s">
        <v>51</v>
      </c>
      <c r="F13" s="234"/>
      <c r="G13" s="234"/>
      <c r="H13" s="234"/>
    </row>
    <row r="14" spans="2:8" ht="15.75" customHeight="1">
      <c r="B14" s="22"/>
      <c r="D14" s="32"/>
      <c r="E14" s="234"/>
      <c r="F14" s="234"/>
      <c r="G14" s="234"/>
      <c r="H14" s="234"/>
    </row>
    <row r="15" spans="2:8" ht="15.75" customHeight="1">
      <c r="B15" s="22"/>
      <c r="D15" s="32"/>
      <c r="E15" s="234"/>
      <c r="F15" s="234"/>
      <c r="G15" s="234"/>
      <c r="H15" s="234"/>
    </row>
    <row r="16" spans="2:8" ht="15.75" customHeight="1">
      <c r="B16" s="22"/>
      <c r="D16" s="32"/>
      <c r="E16" s="234"/>
      <c r="F16" s="234"/>
      <c r="G16" s="234"/>
      <c r="H16" s="234"/>
    </row>
    <row r="17" spans="2:8" ht="15.75">
      <c r="B17" s="22"/>
      <c r="D17" s="23"/>
      <c r="E17" s="234"/>
      <c r="F17" s="234"/>
      <c r="G17" s="234"/>
      <c r="H17" s="234"/>
    </row>
    <row r="18" spans="2:8" ht="15.75">
      <c r="B18" s="22"/>
      <c r="D18" s="23"/>
      <c r="E18" s="23"/>
    </row>
    <row r="19" spans="2:8" ht="20.25">
      <c r="B19" s="22" t="s">
        <v>34</v>
      </c>
      <c r="E19" s="24" t="s">
        <v>35</v>
      </c>
    </row>
    <row r="20" spans="2:8" ht="15">
      <c r="B20" s="22"/>
      <c r="C20" s="21"/>
      <c r="D20" s="21"/>
      <c r="E20" s="21"/>
    </row>
    <row r="21" spans="2:8">
      <c r="B21" s="235" t="s">
        <v>48</v>
      </c>
      <c r="C21" s="236"/>
      <c r="D21" s="236"/>
      <c r="E21" s="236"/>
      <c r="F21" s="236"/>
      <c r="G21" s="236"/>
      <c r="H21" s="236"/>
    </row>
    <row r="22" spans="2:8">
      <c r="B22" s="236"/>
      <c r="C22" s="236"/>
      <c r="D22" s="236"/>
      <c r="E22" s="236"/>
      <c r="F22" s="236"/>
      <c r="G22" s="236"/>
      <c r="H22" s="236"/>
    </row>
    <row r="23" spans="2:8">
      <c r="B23" s="236"/>
      <c r="C23" s="236"/>
      <c r="D23" s="236"/>
      <c r="E23" s="236"/>
      <c r="F23" s="236"/>
      <c r="G23" s="236"/>
      <c r="H23" s="236"/>
    </row>
    <row r="24" spans="2:8">
      <c r="B24" s="236"/>
      <c r="C24" s="236"/>
      <c r="D24" s="236"/>
      <c r="E24" s="236"/>
      <c r="F24" s="236"/>
      <c r="G24" s="236"/>
      <c r="H24" s="236"/>
    </row>
    <row r="25" spans="2:8" ht="15">
      <c r="B25" s="22"/>
      <c r="C25" s="21"/>
      <c r="D25" s="21"/>
      <c r="E25" s="21"/>
    </row>
    <row r="26" spans="2:8" ht="12.75" customHeight="1">
      <c r="C26" s="21"/>
      <c r="D26" s="241" t="s">
        <v>52</v>
      </c>
      <c r="E26" s="241"/>
      <c r="F26" s="241"/>
    </row>
    <row r="27" spans="2:8" ht="20.25">
      <c r="B27" s="25"/>
      <c r="C27" s="21"/>
      <c r="D27" s="241"/>
      <c r="E27" s="241"/>
      <c r="F27" s="241"/>
    </row>
    <row r="28" spans="2:8">
      <c r="B28" s="235" t="s">
        <v>49</v>
      </c>
      <c r="C28" s="236"/>
      <c r="D28" s="236"/>
      <c r="E28" s="236"/>
      <c r="F28" s="236"/>
      <c r="G28" s="236"/>
      <c r="H28" s="236"/>
    </row>
    <row r="29" spans="2:8">
      <c r="B29" s="236"/>
      <c r="C29" s="236"/>
      <c r="D29" s="236"/>
      <c r="E29" s="236"/>
      <c r="F29" s="236"/>
      <c r="G29" s="236"/>
      <c r="H29" s="236"/>
    </row>
    <row r="30" spans="2:8">
      <c r="B30" s="236"/>
      <c r="C30" s="236"/>
      <c r="D30" s="236"/>
      <c r="E30" s="236"/>
      <c r="F30" s="236"/>
      <c r="G30" s="236"/>
      <c r="H30" s="236"/>
    </row>
    <row r="31" spans="2:8" ht="15">
      <c r="B31" s="22"/>
      <c r="C31" s="21"/>
      <c r="D31" s="21"/>
      <c r="E31" s="21"/>
    </row>
    <row r="32" spans="2:8" ht="12.75" customHeight="1">
      <c r="C32" s="231" t="s">
        <v>53</v>
      </c>
      <c r="D32" s="231"/>
      <c r="E32" s="231"/>
      <c r="F32" s="231"/>
    </row>
    <row r="33" spans="2:8" ht="20.25">
      <c r="B33" s="25"/>
      <c r="C33" s="231"/>
      <c r="D33" s="231"/>
      <c r="E33" s="231"/>
      <c r="F33" s="231"/>
    </row>
    <row r="34" spans="2:8">
      <c r="B34" s="235" t="s">
        <v>50</v>
      </c>
      <c r="C34" s="236"/>
      <c r="D34" s="236"/>
      <c r="E34" s="236"/>
      <c r="F34" s="236"/>
      <c r="G34" s="236"/>
      <c r="H34" s="236"/>
    </row>
    <row r="35" spans="2:8">
      <c r="B35" s="236"/>
      <c r="C35" s="236"/>
      <c r="D35" s="236"/>
      <c r="E35" s="236"/>
      <c r="F35" s="236"/>
      <c r="G35" s="236"/>
      <c r="H35" s="236"/>
    </row>
    <row r="36" spans="2:8">
      <c r="B36" s="236"/>
      <c r="C36" s="236"/>
      <c r="D36" s="236"/>
      <c r="E36" s="236"/>
      <c r="F36" s="236"/>
      <c r="G36" s="236"/>
      <c r="H36" s="236"/>
    </row>
    <row r="37" spans="2:8">
      <c r="B37" s="236"/>
      <c r="C37" s="236"/>
      <c r="D37" s="236"/>
      <c r="E37" s="236"/>
      <c r="F37" s="236"/>
      <c r="G37" s="236"/>
      <c r="H37" s="236"/>
    </row>
    <row r="38" spans="2:8">
      <c r="B38" s="236"/>
      <c r="C38" s="236"/>
      <c r="D38" s="236"/>
      <c r="E38" s="236"/>
      <c r="F38" s="236"/>
      <c r="G38" s="236"/>
      <c r="H38" s="236"/>
    </row>
    <row r="39" spans="2:8">
      <c r="B39" s="236"/>
      <c r="C39" s="236"/>
      <c r="D39" s="236"/>
      <c r="E39" s="236"/>
      <c r="F39" s="236"/>
      <c r="G39" s="236"/>
      <c r="H39" s="236"/>
    </row>
    <row r="40" spans="2:8">
      <c r="B40" s="236"/>
      <c r="C40" s="236"/>
      <c r="D40" s="236"/>
      <c r="E40" s="236"/>
      <c r="F40" s="236"/>
      <c r="G40" s="236"/>
      <c r="H40" s="236"/>
    </row>
    <row r="41" spans="2:8" ht="15">
      <c r="B41" s="22"/>
      <c r="C41" s="21"/>
      <c r="D41" s="21"/>
      <c r="E41" s="21"/>
    </row>
    <row r="42" spans="2:8" ht="15.75" thickBot="1">
      <c r="B42" s="22"/>
      <c r="C42" s="21"/>
      <c r="D42" s="21"/>
      <c r="E42" s="21"/>
    </row>
    <row r="43" spans="2:8" s="29" customFormat="1" ht="24.95" customHeight="1" thickBot="1">
      <c r="C43" s="26" t="s">
        <v>36</v>
      </c>
      <c r="D43" s="237" t="s">
        <v>37</v>
      </c>
      <c r="E43" s="238"/>
      <c r="F43" s="27" t="s">
        <v>42</v>
      </c>
      <c r="G43" s="28" t="s">
        <v>43</v>
      </c>
    </row>
    <row r="44" spans="2:8" s="29" customFormat="1" ht="24.95" customHeight="1">
      <c r="C44" s="31">
        <v>1</v>
      </c>
      <c r="D44" s="239" t="s">
        <v>38</v>
      </c>
      <c r="E44" s="240"/>
      <c r="F44" s="31" t="s">
        <v>44</v>
      </c>
      <c r="G44" s="31" t="s">
        <v>44</v>
      </c>
    </row>
    <row r="45" spans="2:8" s="29" customFormat="1" ht="24.95" customHeight="1">
      <c r="C45" s="30">
        <v>2</v>
      </c>
      <c r="D45" s="232" t="s">
        <v>39</v>
      </c>
      <c r="E45" s="233"/>
      <c r="F45" s="30" t="s">
        <v>45</v>
      </c>
      <c r="G45" s="30" t="s">
        <v>45</v>
      </c>
    </row>
    <row r="46" spans="2:8" s="29" customFormat="1" ht="24.95" customHeight="1">
      <c r="C46" s="30">
        <v>3</v>
      </c>
      <c r="D46" s="232" t="s">
        <v>40</v>
      </c>
      <c r="E46" s="233"/>
      <c r="F46" s="30" t="s">
        <v>46</v>
      </c>
      <c r="G46" s="30" t="s">
        <v>46</v>
      </c>
    </row>
    <row r="47" spans="2:8" ht="15">
      <c r="B47" s="22" t="s">
        <v>41</v>
      </c>
      <c r="C47" s="21"/>
      <c r="D47" s="21"/>
      <c r="E47" s="21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workbookViewId="0">
      <selection activeCell="F13" sqref="F13"/>
    </sheetView>
  </sheetViews>
  <sheetFormatPr defaultRowHeight="15.75"/>
  <cols>
    <col min="1" max="7" width="9.140625" style="18"/>
    <col min="8" max="8" width="15.7109375" style="18" bestFit="1" customWidth="1"/>
    <col min="9" max="9" width="3" style="18" customWidth="1"/>
    <col min="10" max="10" width="4.140625" style="18" customWidth="1"/>
    <col min="11" max="11" width="3.42578125" style="18" customWidth="1"/>
    <col min="12" max="16384" width="9.140625" style="18"/>
  </cols>
  <sheetData>
    <row r="2" spans="2:12" ht="15.75" customHeight="1">
      <c r="C2" s="42" t="s">
        <v>8</v>
      </c>
      <c r="D2" s="242" t="s">
        <v>432</v>
      </c>
      <c r="E2" s="242"/>
      <c r="F2" s="242"/>
      <c r="G2" s="242"/>
      <c r="H2" s="242"/>
      <c r="I2" s="242"/>
      <c r="J2" s="242"/>
      <c r="K2" s="41"/>
      <c r="L2" s="41"/>
    </row>
    <row r="3" spans="2:12" ht="21" customHeight="1">
      <c r="D3" s="242"/>
      <c r="E3" s="242"/>
      <c r="F3" s="242"/>
      <c r="G3" s="242"/>
      <c r="H3" s="242"/>
      <c r="I3" s="242"/>
      <c r="J3" s="242"/>
      <c r="K3" s="41"/>
      <c r="L3" s="41"/>
    </row>
    <row r="4" spans="2:12" ht="27">
      <c r="F4" s="40" t="s">
        <v>68</v>
      </c>
      <c r="I4" s="40"/>
    </row>
    <row r="5" spans="2:12" ht="16.5" thickBot="1"/>
    <row r="6" spans="2:12" s="34" customFormat="1" ht="16.5" thickBot="1">
      <c r="B6" s="125" t="s">
        <v>67</v>
      </c>
      <c r="C6" s="126" t="s">
        <v>66</v>
      </c>
      <c r="D6" s="127"/>
      <c r="E6" s="127"/>
      <c r="F6" s="127"/>
      <c r="G6" s="128"/>
      <c r="H6" s="245" t="s">
        <v>65</v>
      </c>
      <c r="I6" s="246"/>
      <c r="J6" s="247"/>
      <c r="K6" s="248"/>
    </row>
    <row r="8" spans="2:12">
      <c r="B8" s="98"/>
      <c r="C8" s="129" t="s">
        <v>64</v>
      </c>
      <c r="D8" s="98"/>
      <c r="E8" s="98"/>
      <c r="F8" s="98"/>
      <c r="G8" s="98"/>
      <c r="H8" s="98"/>
      <c r="I8" s="98"/>
      <c r="J8" s="98"/>
    </row>
    <row r="9" spans="2:12">
      <c r="B9" s="130" t="s">
        <v>63</v>
      </c>
      <c r="C9" s="131" t="s">
        <v>62</v>
      </c>
      <c r="D9" s="131"/>
      <c r="E9" s="98"/>
      <c r="F9" s="98"/>
      <c r="G9" s="98"/>
      <c r="H9" s="132" t="e">
        <f>'(Abs)'!#REF!</f>
        <v>#REF!</v>
      </c>
      <c r="I9" s="133" t="s">
        <v>11</v>
      </c>
      <c r="J9" s="98"/>
    </row>
    <row r="10" spans="2:12">
      <c r="B10" s="130" t="s">
        <v>61</v>
      </c>
      <c r="C10" s="131" t="s">
        <v>60</v>
      </c>
      <c r="D10" s="131"/>
      <c r="E10" s="98"/>
      <c r="F10" s="98"/>
      <c r="G10" s="98"/>
      <c r="H10" s="132">
        <f>'(Abs)'!J198</f>
        <v>0</v>
      </c>
      <c r="I10" s="133" t="s">
        <v>11</v>
      </c>
      <c r="J10" s="98"/>
    </row>
    <row r="11" spans="2:12" s="36" customFormat="1">
      <c r="B11" s="134"/>
      <c r="C11" s="134"/>
      <c r="D11" s="134"/>
      <c r="E11" s="134"/>
      <c r="F11" s="134"/>
      <c r="G11" s="134"/>
      <c r="H11" s="135"/>
      <c r="I11" s="136"/>
      <c r="J11" s="134"/>
    </row>
    <row r="12" spans="2:12" s="36" customFormat="1">
      <c r="B12" s="134"/>
      <c r="C12" s="129" t="s">
        <v>113</v>
      </c>
      <c r="D12" s="134"/>
      <c r="E12" s="134"/>
      <c r="F12" s="134"/>
      <c r="G12" s="134"/>
      <c r="H12" s="135"/>
      <c r="I12" s="136"/>
      <c r="J12" s="134"/>
    </row>
    <row r="13" spans="2:12" s="36" customFormat="1">
      <c r="B13" s="130" t="s">
        <v>63</v>
      </c>
      <c r="C13" s="131" t="s">
        <v>62</v>
      </c>
      <c r="D13" s="137"/>
      <c r="E13" s="134"/>
      <c r="F13" s="134"/>
      <c r="G13" s="134"/>
      <c r="H13" s="138">
        <f>'(Abs)'!J282</f>
        <v>0</v>
      </c>
      <c r="I13" s="139" t="s">
        <v>11</v>
      </c>
      <c r="J13" s="134"/>
    </row>
    <row r="14" spans="2:12" s="36" customFormat="1">
      <c r="B14" s="130" t="s">
        <v>61</v>
      </c>
      <c r="C14" s="131" t="s">
        <v>72</v>
      </c>
      <c r="D14" s="137"/>
      <c r="E14" s="134"/>
      <c r="F14" s="134"/>
      <c r="G14" s="134"/>
      <c r="H14" s="138">
        <f>'(Abs)'!J305</f>
        <v>0</v>
      </c>
      <c r="I14" s="139" t="s">
        <v>11</v>
      </c>
      <c r="J14" s="134"/>
    </row>
    <row r="15" spans="2:12" s="36" customFormat="1">
      <c r="B15" s="130"/>
      <c r="C15" s="131"/>
      <c r="D15" s="137"/>
      <c r="E15" s="134"/>
      <c r="F15" s="134"/>
      <c r="G15" s="134"/>
      <c r="H15" s="138"/>
      <c r="I15" s="139"/>
      <c r="J15" s="134"/>
    </row>
    <row r="16" spans="2:12" s="36" customFormat="1">
      <c r="B16" s="140"/>
      <c r="C16" s="98"/>
      <c r="D16" s="134"/>
      <c r="E16" s="134"/>
      <c r="F16" s="134"/>
      <c r="G16" s="134"/>
      <c r="H16" s="135"/>
      <c r="I16" s="139"/>
      <c r="J16" s="134"/>
    </row>
    <row r="17" spans="1:11">
      <c r="B17" s="98"/>
      <c r="C17" s="129"/>
      <c r="D17" s="98"/>
      <c r="E17" s="98"/>
      <c r="F17" s="98"/>
      <c r="G17" s="98"/>
      <c r="H17" s="98"/>
      <c r="I17" s="131"/>
      <c r="J17" s="98"/>
    </row>
    <row r="18" spans="1:11">
      <c r="B18" s="130"/>
      <c r="C18" s="131"/>
      <c r="D18" s="131"/>
      <c r="E18" s="98"/>
      <c r="F18" s="98"/>
      <c r="G18" s="98"/>
      <c r="H18" s="132"/>
      <c r="I18" s="139"/>
      <c r="J18" s="98"/>
    </row>
    <row r="19" spans="1:11">
      <c r="B19" s="130"/>
      <c r="C19" s="131"/>
      <c r="D19" s="131"/>
      <c r="E19" s="98"/>
      <c r="F19" s="98"/>
      <c r="G19" s="98"/>
      <c r="H19" s="132"/>
      <c r="I19" s="139"/>
      <c r="J19" s="98"/>
    </row>
    <row r="20" spans="1:11">
      <c r="B20" s="47"/>
      <c r="C20" s="20"/>
      <c r="D20" s="20"/>
      <c r="H20" s="45"/>
      <c r="I20" s="46"/>
    </row>
    <row r="21" spans="1:11">
      <c r="B21" s="47"/>
      <c r="C21" s="20"/>
      <c r="D21" s="20"/>
      <c r="H21" s="45"/>
      <c r="I21" s="46"/>
    </row>
    <row r="22" spans="1:11">
      <c r="B22" s="47"/>
      <c r="C22" s="20"/>
      <c r="D22" s="20"/>
      <c r="H22" s="45"/>
      <c r="I22" s="46"/>
    </row>
    <row r="23" spans="1:11">
      <c r="B23" s="47"/>
      <c r="C23" s="20"/>
      <c r="D23" s="20"/>
      <c r="H23" s="45"/>
      <c r="I23" s="46"/>
    </row>
    <row r="24" spans="1:11">
      <c r="B24" s="38"/>
      <c r="H24" s="39"/>
      <c r="I24" s="37"/>
    </row>
    <row r="25" spans="1:11" s="36" customFormat="1" ht="16.5" thickBot="1">
      <c r="A25" s="134"/>
      <c r="B25" s="140"/>
      <c r="C25" s="98"/>
      <c r="D25" s="98"/>
      <c r="E25" s="98"/>
      <c r="F25" s="98"/>
      <c r="G25" s="98"/>
      <c r="H25" s="132"/>
      <c r="I25" s="139"/>
      <c r="J25" s="134"/>
      <c r="K25" s="134"/>
    </row>
    <row r="26" spans="1:11" s="36" customFormat="1" ht="16.5" thickBot="1">
      <c r="A26" s="134"/>
      <c r="B26" s="134"/>
      <c r="C26" s="134"/>
      <c r="D26" s="134"/>
      <c r="E26" s="134"/>
      <c r="F26" s="137"/>
      <c r="G26" s="141" t="s">
        <v>59</v>
      </c>
      <c r="H26" s="142" t="e">
        <f>SUM(H9:H19)</f>
        <v>#REF!</v>
      </c>
      <c r="I26" s="143" t="s">
        <v>11</v>
      </c>
      <c r="J26" s="144"/>
      <c r="K26" s="133"/>
    </row>
    <row r="27" spans="1:11" s="36" customFormat="1" ht="16.5" thickBot="1">
      <c r="A27" s="134"/>
      <c r="B27" s="134"/>
      <c r="C27" s="134"/>
      <c r="D27" s="134"/>
      <c r="E27" s="134"/>
      <c r="F27" s="137"/>
      <c r="G27" s="141"/>
      <c r="H27" s="145"/>
      <c r="I27" s="133"/>
      <c r="J27" s="144"/>
      <c r="K27" s="133"/>
    </row>
    <row r="28" spans="1:11" s="36" customFormat="1" ht="16.5" thickBot="1">
      <c r="A28" s="134"/>
      <c r="B28" s="134"/>
      <c r="C28" s="134"/>
      <c r="D28" s="134"/>
      <c r="E28" s="134"/>
      <c r="F28" s="137"/>
      <c r="G28" s="130" t="s">
        <v>58</v>
      </c>
      <c r="H28" s="146" t="e">
        <f>ROUND(SUM(H26),-3)</f>
        <v>#REF!</v>
      </c>
      <c r="I28" s="147" t="s">
        <v>11</v>
      </c>
      <c r="J28" s="144"/>
      <c r="K28" s="133"/>
    </row>
    <row r="29" spans="1:11" s="36" customFormat="1">
      <c r="A29" s="134"/>
      <c r="B29" s="134"/>
      <c r="C29" s="134"/>
      <c r="D29" s="134"/>
      <c r="E29" s="134"/>
      <c r="F29" s="137"/>
      <c r="G29" s="130"/>
      <c r="H29" s="148"/>
      <c r="I29" s="149"/>
      <c r="J29" s="144"/>
      <c r="K29" s="133"/>
    </row>
    <row r="30" spans="1:11" s="36" customFormat="1">
      <c r="A30" s="134"/>
      <c r="B30" s="134"/>
      <c r="C30" s="134"/>
      <c r="D30" s="134"/>
      <c r="E30" s="134"/>
      <c r="F30" s="134"/>
      <c r="G30" s="140"/>
      <c r="H30" s="148"/>
      <c r="I30" s="149"/>
      <c r="J30" s="144"/>
      <c r="K30" s="133"/>
    </row>
    <row r="31" spans="1:11" s="36" customFormat="1">
      <c r="A31" s="134"/>
      <c r="B31" s="134"/>
      <c r="C31" s="134"/>
      <c r="D31" s="134"/>
      <c r="E31" s="134"/>
      <c r="F31" s="134"/>
      <c r="G31" s="140"/>
      <c r="H31" s="148"/>
      <c r="I31" s="149"/>
      <c r="J31" s="144"/>
      <c r="K31" s="133"/>
    </row>
    <row r="32" spans="1:11" s="36" customFormat="1">
      <c r="A32" s="134"/>
      <c r="B32" s="134"/>
      <c r="C32" s="134"/>
      <c r="D32" s="134"/>
      <c r="E32" s="134"/>
      <c r="F32" s="134"/>
      <c r="G32" s="140"/>
      <c r="H32" s="148"/>
      <c r="I32" s="149"/>
      <c r="J32" s="144"/>
      <c r="K32" s="133"/>
    </row>
    <row r="33" spans="1:11" s="36" customFormat="1">
      <c r="A33" s="98"/>
      <c r="B33" s="150"/>
      <c r="C33" s="151" t="s">
        <v>57</v>
      </c>
      <c r="D33" s="151"/>
      <c r="E33" s="152"/>
      <c r="F33" s="98"/>
      <c r="G33" s="244" t="s">
        <v>56</v>
      </c>
      <c r="H33" s="244"/>
      <c r="I33" s="244"/>
      <c r="J33" s="244"/>
      <c r="K33" s="244"/>
    </row>
    <row r="34" spans="1:11">
      <c r="A34" s="243" t="s">
        <v>69</v>
      </c>
      <c r="B34" s="243"/>
      <c r="C34" s="243"/>
      <c r="D34" s="243"/>
      <c r="E34" s="243"/>
      <c r="F34" s="153"/>
      <c r="G34" s="243" t="s">
        <v>70</v>
      </c>
      <c r="H34" s="243"/>
      <c r="I34" s="243"/>
      <c r="J34" s="243"/>
      <c r="K34" s="243"/>
    </row>
    <row r="35" spans="1:11">
      <c r="A35" s="98"/>
      <c r="B35" s="98"/>
      <c r="C35" s="153" t="s">
        <v>55</v>
      </c>
      <c r="D35" s="153"/>
      <c r="E35" s="153"/>
      <c r="F35" s="98"/>
      <c r="G35" s="243" t="s">
        <v>55</v>
      </c>
      <c r="H35" s="243"/>
      <c r="I35" s="243"/>
      <c r="J35" s="243"/>
      <c r="K35" s="243"/>
    </row>
    <row r="37" spans="1:11">
      <c r="F37" s="35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15"/>
  <sheetViews>
    <sheetView view="pageBreakPreview" topLeftCell="A143" zoomScaleSheetLayoutView="100" workbookViewId="0">
      <selection activeCell="B179" sqref="B179"/>
    </sheetView>
  </sheetViews>
  <sheetFormatPr defaultColWidth="17.85546875" defaultRowHeight="15"/>
  <cols>
    <col min="1" max="1" width="4.85546875" style="186" customWidth="1"/>
    <col min="2" max="2" width="23" style="53" customWidth="1"/>
    <col min="3" max="3" width="7.85546875" style="53" customWidth="1"/>
    <col min="4" max="4" width="8.42578125" style="53" customWidth="1"/>
    <col min="5" max="5" width="6.5703125" style="53" customWidth="1"/>
    <col min="6" max="6" width="9.85546875" style="53" customWidth="1"/>
    <col min="7" max="7" width="7" style="53" customWidth="1"/>
    <col min="8" max="8" width="1.28515625" style="53" customWidth="1"/>
    <col min="9" max="9" width="8.7109375" style="54" customWidth="1"/>
    <col min="10" max="10" width="10.5703125" style="55" customWidth="1"/>
    <col min="11" max="11" width="4.85546875" style="56" customWidth="1"/>
    <col min="12" max="250" width="9.140625" style="53" customWidth="1"/>
    <col min="251" max="251" width="5.7109375" style="53" customWidth="1"/>
    <col min="252" max="255" width="9.140625" style="53" hidden="1" customWidth="1"/>
    <col min="256" max="16384" width="17.85546875" style="53"/>
  </cols>
  <sheetData>
    <row r="1" spans="1:11" ht="15" customHeight="1">
      <c r="A1" s="249" t="s">
        <v>5</v>
      </c>
      <c r="B1" s="249"/>
      <c r="C1" s="250" t="s">
        <v>432</v>
      </c>
      <c r="D1" s="250"/>
      <c r="E1" s="250"/>
      <c r="F1" s="250"/>
      <c r="G1" s="250"/>
      <c r="H1" s="250"/>
      <c r="I1" s="250"/>
      <c r="J1" s="250"/>
      <c r="K1" s="250"/>
    </row>
    <row r="2" spans="1:11" ht="15" customHeight="1">
      <c r="C2" s="250"/>
      <c r="D2" s="250"/>
      <c r="E2" s="250"/>
      <c r="F2" s="250"/>
      <c r="G2" s="250"/>
      <c r="H2" s="250"/>
      <c r="I2" s="250"/>
      <c r="J2" s="250"/>
      <c r="K2" s="250"/>
    </row>
    <row r="3" spans="1:11" ht="12" customHeight="1">
      <c r="C3" s="250"/>
      <c r="D3" s="250"/>
      <c r="E3" s="250"/>
      <c r="F3" s="250"/>
      <c r="G3" s="250"/>
      <c r="H3" s="250"/>
      <c r="I3" s="250"/>
      <c r="J3" s="250"/>
      <c r="K3" s="250"/>
    </row>
    <row r="4" spans="1:11" ht="15.75">
      <c r="D4" s="187" t="s">
        <v>19</v>
      </c>
      <c r="H4" s="131"/>
    </row>
    <row r="5" spans="1:11" ht="15" customHeight="1">
      <c r="F5" s="187"/>
    </row>
    <row r="6" spans="1:11" ht="15" customHeight="1">
      <c r="A6" s="207" t="s">
        <v>18</v>
      </c>
      <c r="B6" s="251" t="s">
        <v>20</v>
      </c>
      <c r="C6" s="251"/>
      <c r="D6" s="251"/>
      <c r="E6" s="252" t="s">
        <v>21</v>
      </c>
      <c r="F6" s="252"/>
      <c r="G6" s="252"/>
      <c r="H6" s="252"/>
      <c r="I6" s="188"/>
      <c r="J6" s="253" t="s">
        <v>15</v>
      </c>
      <c r="K6" s="253"/>
    </row>
    <row r="7" spans="1:11" ht="15.75">
      <c r="A7" s="50"/>
      <c r="B7" s="59" t="s">
        <v>76</v>
      </c>
      <c r="C7" s="52"/>
    </row>
    <row r="8" spans="1:11" ht="15.75">
      <c r="A8" s="50"/>
      <c r="B8" s="59" t="s">
        <v>54</v>
      </c>
      <c r="C8" s="52"/>
    </row>
    <row r="9" spans="1:11" ht="15.75">
      <c r="A9" s="50">
        <v>1</v>
      </c>
      <c r="B9" s="51" t="s">
        <v>175</v>
      </c>
      <c r="C9" s="52"/>
    </row>
    <row r="10" spans="1:11" ht="15.75">
      <c r="A10" s="50"/>
      <c r="B10" s="51" t="s">
        <v>433</v>
      </c>
      <c r="C10" s="52"/>
      <c r="E10" s="53" t="s">
        <v>492</v>
      </c>
      <c r="J10" s="55">
        <f>4*1.5*0.67*9</f>
        <v>36.180000000000007</v>
      </c>
      <c r="K10" s="56" t="s">
        <v>174</v>
      </c>
    </row>
    <row r="11" spans="1:11" ht="15.75">
      <c r="A11" s="50"/>
      <c r="B11" s="51" t="s">
        <v>493</v>
      </c>
      <c r="C11" s="52"/>
      <c r="E11" s="53" t="s">
        <v>494</v>
      </c>
      <c r="J11" s="55">
        <f>2*14*0.67*2</f>
        <v>37.520000000000003</v>
      </c>
      <c r="K11" s="56" t="s">
        <v>174</v>
      </c>
    </row>
    <row r="12" spans="1:11" ht="15.75">
      <c r="A12" s="50"/>
      <c r="B12" s="51"/>
      <c r="C12" s="52"/>
      <c r="E12" s="53" t="s">
        <v>434</v>
      </c>
      <c r="J12" s="55">
        <f>2*12*0.67*2</f>
        <v>32.160000000000004</v>
      </c>
      <c r="K12" s="56" t="s">
        <v>174</v>
      </c>
    </row>
    <row r="13" spans="1:11" ht="15.75">
      <c r="A13" s="50"/>
      <c r="B13" s="51"/>
      <c r="C13" s="52"/>
      <c r="E13" s="53" t="s">
        <v>495</v>
      </c>
      <c r="J13" s="55">
        <f>1*14*15*0.5</f>
        <v>105</v>
      </c>
      <c r="K13" s="56" t="s">
        <v>174</v>
      </c>
    </row>
    <row r="14" spans="1:11" ht="15.75">
      <c r="A14" s="50"/>
      <c r="B14" s="51"/>
      <c r="C14" s="52"/>
      <c r="J14" s="57">
        <f>SUM(J10:J13)</f>
        <v>210.86</v>
      </c>
      <c r="K14" s="58" t="s">
        <v>174</v>
      </c>
    </row>
    <row r="15" spans="1:11" ht="15.75">
      <c r="A15" s="50"/>
      <c r="B15" s="51"/>
      <c r="C15" s="52"/>
    </row>
    <row r="16" spans="1:11" ht="15.75">
      <c r="A16" s="50">
        <v>2</v>
      </c>
      <c r="B16" s="51" t="s">
        <v>178</v>
      </c>
      <c r="C16" s="52"/>
    </row>
    <row r="17" spans="1:12" ht="15.75">
      <c r="A17" s="50"/>
      <c r="B17" s="51" t="s">
        <v>496</v>
      </c>
      <c r="C17" s="52"/>
      <c r="E17" s="53" t="s">
        <v>497</v>
      </c>
      <c r="J17" s="57">
        <f>210.86*6/112</f>
        <v>11.296071428571429</v>
      </c>
      <c r="K17" s="58" t="s">
        <v>275</v>
      </c>
    </row>
    <row r="18" spans="1:12" ht="15.75">
      <c r="A18" s="50"/>
      <c r="B18" s="51"/>
      <c r="C18" s="52"/>
    </row>
    <row r="19" spans="1:12" ht="15.75">
      <c r="A19" s="50"/>
      <c r="B19" s="59"/>
      <c r="C19" s="52"/>
    </row>
    <row r="20" spans="1:12" ht="15.75">
      <c r="A20" s="50">
        <v>3</v>
      </c>
      <c r="B20" s="51" t="s">
        <v>176</v>
      </c>
      <c r="C20" s="52"/>
    </row>
    <row r="21" spans="1:12" ht="15.75">
      <c r="A21" s="50"/>
      <c r="B21" s="51" t="s">
        <v>177</v>
      </c>
      <c r="C21" s="52"/>
    </row>
    <row r="22" spans="1:12" ht="15" customHeight="1">
      <c r="A22" s="50"/>
      <c r="B22" s="59"/>
      <c r="C22" s="52"/>
      <c r="E22" s="53" t="s">
        <v>434</v>
      </c>
      <c r="J22" s="55">
        <f>2*12*0.67*2</f>
        <v>32.160000000000004</v>
      </c>
      <c r="K22" s="56" t="s">
        <v>174</v>
      </c>
      <c r="L22" s="189"/>
    </row>
    <row r="23" spans="1:12" ht="15" customHeight="1">
      <c r="A23" s="50"/>
      <c r="B23" s="59"/>
      <c r="C23" s="52"/>
      <c r="E23" s="53" t="s">
        <v>435</v>
      </c>
      <c r="J23" s="55">
        <f>2*13*0.67*2</f>
        <v>34.840000000000003</v>
      </c>
      <c r="K23" s="56" t="s">
        <v>174</v>
      </c>
      <c r="L23" s="189"/>
    </row>
    <row r="24" spans="1:12" ht="15" customHeight="1">
      <c r="A24" s="50"/>
      <c r="B24" s="59"/>
      <c r="C24" s="52"/>
      <c r="J24" s="57">
        <f>SUM(J22:J23)</f>
        <v>67</v>
      </c>
      <c r="K24" s="58" t="s">
        <v>174</v>
      </c>
      <c r="L24" s="189"/>
    </row>
    <row r="25" spans="1:12" ht="15" customHeight="1">
      <c r="A25" s="50"/>
      <c r="B25" s="59"/>
      <c r="C25" s="52"/>
      <c r="L25" s="189"/>
    </row>
    <row r="26" spans="1:12" ht="15" customHeight="1">
      <c r="A26" s="50">
        <v>4</v>
      </c>
      <c r="B26" s="51" t="s">
        <v>179</v>
      </c>
      <c r="C26" s="52"/>
      <c r="L26" s="189"/>
    </row>
    <row r="27" spans="1:12" ht="15" customHeight="1">
      <c r="A27" s="50"/>
      <c r="B27" s="51" t="s">
        <v>180</v>
      </c>
      <c r="C27" s="52"/>
      <c r="E27" s="53" t="s">
        <v>436</v>
      </c>
      <c r="J27" s="55">
        <f>2*12*0.5*7</f>
        <v>84</v>
      </c>
      <c r="K27" s="56" t="s">
        <v>174</v>
      </c>
      <c r="L27" s="189"/>
    </row>
    <row r="28" spans="1:12" ht="15" customHeight="1">
      <c r="A28" s="50"/>
      <c r="B28" s="51" t="s">
        <v>180</v>
      </c>
      <c r="C28" s="52"/>
      <c r="E28" s="53" t="s">
        <v>437</v>
      </c>
      <c r="J28" s="55">
        <f>2*13*0.5*7</f>
        <v>91</v>
      </c>
      <c r="K28" s="56" t="s">
        <v>174</v>
      </c>
      <c r="L28" s="189"/>
    </row>
    <row r="29" spans="1:12" ht="15" customHeight="1">
      <c r="A29" s="50"/>
      <c r="B29" s="59"/>
      <c r="C29" s="52"/>
      <c r="J29" s="57">
        <f>SUM(J27:J28)</f>
        <v>175</v>
      </c>
      <c r="K29" s="58" t="s">
        <v>174</v>
      </c>
      <c r="L29" s="189"/>
    </row>
    <row r="30" spans="1:12" ht="15" customHeight="1">
      <c r="L30" s="189"/>
    </row>
    <row r="31" spans="1:12" ht="15" customHeight="1">
      <c r="A31" s="50">
        <v>5</v>
      </c>
      <c r="B31" s="51" t="s">
        <v>181</v>
      </c>
      <c r="C31" s="52"/>
      <c r="L31" s="189"/>
    </row>
    <row r="32" spans="1:12" ht="15" customHeight="1">
      <c r="A32" s="50"/>
      <c r="B32" s="51" t="s">
        <v>438</v>
      </c>
      <c r="C32" s="52"/>
      <c r="E32" s="53" t="s">
        <v>439</v>
      </c>
      <c r="J32" s="55">
        <f>6*4*8</f>
        <v>192</v>
      </c>
      <c r="K32" s="56" t="s">
        <v>10</v>
      </c>
      <c r="L32" s="189"/>
    </row>
    <row r="33" spans="1:12" ht="15" customHeight="1">
      <c r="L33" s="189"/>
    </row>
    <row r="34" spans="1:12" ht="15" customHeight="1">
      <c r="A34" s="50">
        <v>6</v>
      </c>
      <c r="B34" s="51" t="s">
        <v>182</v>
      </c>
      <c r="C34" s="52"/>
      <c r="L34" s="189"/>
    </row>
    <row r="35" spans="1:12" ht="15" customHeight="1">
      <c r="A35" s="50"/>
      <c r="B35" s="51" t="s">
        <v>440</v>
      </c>
      <c r="C35" s="52"/>
      <c r="E35" s="53" t="s">
        <v>442</v>
      </c>
      <c r="J35" s="55">
        <f>1*12*13</f>
        <v>156</v>
      </c>
      <c r="K35" s="56" t="s">
        <v>10</v>
      </c>
      <c r="L35" s="189"/>
    </row>
    <row r="36" spans="1:12" ht="15" customHeight="1">
      <c r="A36" s="50"/>
      <c r="B36" s="51" t="s">
        <v>441</v>
      </c>
      <c r="C36" s="52"/>
      <c r="E36" s="53" t="s">
        <v>443</v>
      </c>
      <c r="J36" s="55">
        <f>1*14*12</f>
        <v>168</v>
      </c>
      <c r="K36" s="56" t="s">
        <v>10</v>
      </c>
      <c r="L36" s="189"/>
    </row>
    <row r="37" spans="1:12" ht="15" customHeight="1">
      <c r="A37" s="50"/>
      <c r="B37" s="59"/>
      <c r="C37" s="52"/>
      <c r="J37" s="57">
        <f>SUM(J35:J36)</f>
        <v>324</v>
      </c>
      <c r="K37" s="58" t="s">
        <v>10</v>
      </c>
      <c r="L37" s="189"/>
    </row>
    <row r="38" spans="1:12" ht="15" customHeight="1">
      <c r="L38" s="189"/>
    </row>
    <row r="39" spans="1:12" ht="15" customHeight="1">
      <c r="A39" s="50">
        <v>7</v>
      </c>
      <c r="B39" s="51" t="s">
        <v>183</v>
      </c>
      <c r="C39" s="52"/>
      <c r="L39" s="189"/>
    </row>
    <row r="40" spans="1:12" ht="15" customHeight="1">
      <c r="A40" s="50"/>
      <c r="B40" s="51" t="s">
        <v>444</v>
      </c>
      <c r="C40" s="52"/>
      <c r="E40" s="53" t="s">
        <v>185</v>
      </c>
      <c r="J40" s="55">
        <v>17</v>
      </c>
      <c r="K40" s="56" t="s">
        <v>24</v>
      </c>
      <c r="L40" s="189"/>
    </row>
    <row r="41" spans="1:12" ht="15" customHeight="1">
      <c r="A41" s="50"/>
      <c r="B41" s="51" t="s">
        <v>445</v>
      </c>
      <c r="C41" s="52"/>
      <c r="E41" s="53" t="s">
        <v>447</v>
      </c>
      <c r="J41" s="55">
        <f>4*(7+2.5+7)</f>
        <v>66</v>
      </c>
      <c r="K41" s="56" t="s">
        <v>24</v>
      </c>
      <c r="L41" s="189"/>
    </row>
    <row r="42" spans="1:12" ht="15" customHeight="1">
      <c r="A42" s="50"/>
      <c r="B42" s="51" t="s">
        <v>446</v>
      </c>
      <c r="C42" s="52"/>
      <c r="E42" s="53" t="s">
        <v>448</v>
      </c>
      <c r="J42" s="55">
        <f>3*(7+3+7)</f>
        <v>51</v>
      </c>
      <c r="K42" s="56" t="s">
        <v>24</v>
      </c>
      <c r="L42" s="189"/>
    </row>
    <row r="43" spans="1:12" ht="15" customHeight="1">
      <c r="A43" s="50"/>
      <c r="B43" s="59"/>
      <c r="C43" s="52"/>
      <c r="J43" s="57">
        <f>SUM(J40:J42)</f>
        <v>134</v>
      </c>
      <c r="K43" s="58" t="s">
        <v>24</v>
      </c>
      <c r="L43" s="189"/>
    </row>
    <row r="44" spans="1:12" ht="15" customHeight="1">
      <c r="A44" s="50"/>
      <c r="B44" s="59"/>
      <c r="C44" s="52"/>
      <c r="L44" s="189"/>
    </row>
    <row r="45" spans="1:12" ht="15" customHeight="1">
      <c r="A45" s="50">
        <v>8</v>
      </c>
      <c r="B45" s="51" t="s">
        <v>186</v>
      </c>
      <c r="C45" s="52"/>
      <c r="L45" s="189"/>
    </row>
    <row r="46" spans="1:12" ht="15" customHeight="1">
      <c r="A46" s="50"/>
      <c r="B46" s="59"/>
      <c r="C46" s="52"/>
      <c r="E46" s="53" t="s">
        <v>449</v>
      </c>
      <c r="J46" s="55">
        <f>7*3.75*7</f>
        <v>183.75</v>
      </c>
      <c r="K46" s="56" t="s">
        <v>10</v>
      </c>
      <c r="L46" s="189"/>
    </row>
    <row r="47" spans="1:12" ht="15" customHeight="1">
      <c r="A47" s="50"/>
      <c r="B47" s="59"/>
      <c r="C47" s="52"/>
      <c r="E47" s="53" t="s">
        <v>450</v>
      </c>
      <c r="J47" s="55">
        <f>4*2.5*7</f>
        <v>70</v>
      </c>
      <c r="K47" s="56" t="s">
        <v>10</v>
      </c>
      <c r="L47" s="189"/>
    </row>
    <row r="48" spans="1:12" ht="15" customHeight="1">
      <c r="A48" s="50"/>
      <c r="B48" s="59"/>
      <c r="C48" s="52"/>
      <c r="J48" s="57">
        <f>SUM(J46:J47)</f>
        <v>253.75</v>
      </c>
      <c r="K48" s="58" t="s">
        <v>10</v>
      </c>
      <c r="L48" s="189"/>
    </row>
    <row r="49" spans="1:12" ht="15" customHeight="1">
      <c r="A49" s="50"/>
      <c r="B49" s="59"/>
      <c r="C49" s="52"/>
      <c r="L49" s="189"/>
    </row>
    <row r="50" spans="1:12" ht="15" customHeight="1">
      <c r="A50" s="50">
        <v>9</v>
      </c>
      <c r="B50" s="51" t="s">
        <v>187</v>
      </c>
      <c r="C50" s="52"/>
      <c r="L50" s="189"/>
    </row>
    <row r="51" spans="1:12" ht="15" customHeight="1">
      <c r="A51" s="50"/>
      <c r="B51" s="51" t="s">
        <v>451</v>
      </c>
      <c r="C51" s="52"/>
      <c r="E51" s="53" t="s">
        <v>452</v>
      </c>
      <c r="J51" s="55">
        <f>2*2*(12+14)*8</f>
        <v>832</v>
      </c>
      <c r="K51" s="56" t="s">
        <v>10</v>
      </c>
      <c r="L51" s="189"/>
    </row>
    <row r="52" spans="1:12" ht="15" customHeight="1">
      <c r="A52" s="50"/>
      <c r="B52" s="51" t="s">
        <v>444</v>
      </c>
      <c r="C52" s="52"/>
      <c r="E52" s="53" t="s">
        <v>453</v>
      </c>
      <c r="J52" s="55">
        <f>2*2*(13+14)*9</f>
        <v>972</v>
      </c>
      <c r="K52" s="56" t="s">
        <v>10</v>
      </c>
      <c r="L52" s="189"/>
    </row>
    <row r="53" spans="1:12" ht="15" customHeight="1">
      <c r="A53" s="50"/>
      <c r="B53" s="59"/>
      <c r="C53" s="52"/>
      <c r="J53" s="57">
        <f>SUM(J51:J52)</f>
        <v>1804</v>
      </c>
      <c r="K53" s="58" t="s">
        <v>10</v>
      </c>
      <c r="L53" s="189"/>
    </row>
    <row r="54" spans="1:12" ht="15" customHeight="1">
      <c r="A54" s="50">
        <v>10</v>
      </c>
      <c r="B54" s="51" t="s">
        <v>188</v>
      </c>
      <c r="C54" s="52"/>
      <c r="L54" s="189"/>
    </row>
    <row r="55" spans="1:12" ht="15" customHeight="1">
      <c r="A55" s="50"/>
      <c r="B55" s="51" t="s">
        <v>454</v>
      </c>
      <c r="C55" s="52"/>
      <c r="E55" s="53" t="s">
        <v>142</v>
      </c>
      <c r="J55" s="55">
        <f>2*(20+20)*10</f>
        <v>800</v>
      </c>
      <c r="K55" s="56" t="s">
        <v>10</v>
      </c>
      <c r="L55" s="189"/>
    </row>
    <row r="56" spans="1:12" ht="15" customHeight="1">
      <c r="A56" s="50"/>
      <c r="B56" s="51" t="s">
        <v>455</v>
      </c>
      <c r="C56" s="52"/>
      <c r="E56" s="53" t="s">
        <v>458</v>
      </c>
      <c r="J56" s="55">
        <f>2*(14.5+7.33)*10</f>
        <v>436.59999999999997</v>
      </c>
      <c r="K56" s="56" t="s">
        <v>10</v>
      </c>
      <c r="L56" s="189"/>
    </row>
    <row r="57" spans="1:12" ht="15" customHeight="1">
      <c r="A57" s="50"/>
      <c r="B57" s="51" t="s">
        <v>456</v>
      </c>
      <c r="C57" s="52"/>
      <c r="E57" s="53" t="s">
        <v>459</v>
      </c>
      <c r="J57" s="55">
        <f>12*2*(12+7.5)*10</f>
        <v>4680</v>
      </c>
      <c r="K57" s="56" t="s">
        <v>10</v>
      </c>
      <c r="L57" s="189"/>
    </row>
    <row r="58" spans="1:12" ht="15" customHeight="1">
      <c r="A58" s="50"/>
      <c r="B58" s="51" t="s">
        <v>457</v>
      </c>
      <c r="C58" s="52"/>
      <c r="E58" s="53" t="s">
        <v>460</v>
      </c>
      <c r="J58" s="55">
        <f>8*2*(16+14)*10</f>
        <v>4800</v>
      </c>
      <c r="K58" s="56" t="s">
        <v>10</v>
      </c>
      <c r="L58" s="189"/>
    </row>
    <row r="59" spans="1:12" ht="15" customHeight="1">
      <c r="A59" s="50"/>
      <c r="B59" s="59"/>
      <c r="C59" s="52"/>
      <c r="J59" s="57">
        <f>SUM(J55:J58)</f>
        <v>10716.6</v>
      </c>
      <c r="K59" s="58" t="s">
        <v>10</v>
      </c>
      <c r="L59" s="189"/>
    </row>
    <row r="60" spans="1:12" ht="15" customHeight="1">
      <c r="A60" s="50"/>
      <c r="B60" s="59"/>
      <c r="C60" s="52"/>
      <c r="L60" s="189"/>
    </row>
    <row r="61" spans="1:12" ht="15" customHeight="1">
      <c r="A61" s="50"/>
      <c r="B61" s="59" t="s">
        <v>74</v>
      </c>
      <c r="C61" s="52"/>
      <c r="L61" s="189"/>
    </row>
    <row r="62" spans="1:12" ht="15" customHeight="1">
      <c r="A62" s="50"/>
      <c r="B62" s="51" t="s">
        <v>161</v>
      </c>
      <c r="C62" s="52"/>
      <c r="E62" s="53" t="s">
        <v>121</v>
      </c>
      <c r="J62" s="55">
        <f>1*3*7</f>
        <v>21</v>
      </c>
      <c r="K62" s="56" t="s">
        <v>10</v>
      </c>
      <c r="L62" s="189"/>
    </row>
    <row r="63" spans="1:12" ht="15" customHeight="1">
      <c r="A63" s="50"/>
      <c r="B63" s="51" t="s">
        <v>161</v>
      </c>
      <c r="C63" s="52"/>
      <c r="E63" s="53" t="s">
        <v>121</v>
      </c>
      <c r="J63" s="55">
        <v>21</v>
      </c>
      <c r="K63" s="56" t="s">
        <v>10</v>
      </c>
      <c r="L63" s="189"/>
    </row>
    <row r="64" spans="1:12" ht="15" customHeight="1">
      <c r="A64" s="50"/>
      <c r="B64" s="51" t="s">
        <v>161</v>
      </c>
      <c r="C64" s="52"/>
      <c r="E64" s="53" t="s">
        <v>121</v>
      </c>
      <c r="J64" s="55">
        <v>21</v>
      </c>
      <c r="K64" s="56" t="s">
        <v>10</v>
      </c>
      <c r="L64" s="189"/>
    </row>
    <row r="65" spans="1:12" ht="15" customHeight="1">
      <c r="A65" s="50"/>
      <c r="B65" s="51" t="s">
        <v>161</v>
      </c>
      <c r="C65" s="52"/>
      <c r="E65" s="53" t="s">
        <v>121</v>
      </c>
      <c r="J65" s="55">
        <v>21</v>
      </c>
      <c r="K65" s="56" t="s">
        <v>10</v>
      </c>
      <c r="L65" s="189"/>
    </row>
    <row r="66" spans="1:12" ht="15" customHeight="1">
      <c r="A66" s="50"/>
      <c r="B66" s="51" t="s">
        <v>198</v>
      </c>
      <c r="C66" s="52"/>
      <c r="E66" s="53" t="s">
        <v>137</v>
      </c>
      <c r="J66" s="55">
        <f>2.5*7</f>
        <v>17.5</v>
      </c>
      <c r="K66" s="56" t="s">
        <v>10</v>
      </c>
      <c r="L66" s="189"/>
    </row>
    <row r="67" spans="1:12" ht="15" customHeight="1">
      <c r="A67" s="50"/>
      <c r="B67" s="51" t="s">
        <v>161</v>
      </c>
      <c r="C67" s="52"/>
      <c r="E67" s="53" t="s">
        <v>137</v>
      </c>
      <c r="J67" s="55">
        <f>2.5*7</f>
        <v>17.5</v>
      </c>
      <c r="K67" s="56" t="s">
        <v>10</v>
      </c>
      <c r="L67" s="189"/>
    </row>
    <row r="68" spans="1:12" ht="15" customHeight="1">
      <c r="A68" s="50"/>
      <c r="B68" s="51" t="s">
        <v>161</v>
      </c>
      <c r="C68" s="52"/>
      <c r="E68" s="53" t="s">
        <v>189</v>
      </c>
      <c r="J68" s="55">
        <f>3.5*7</f>
        <v>24.5</v>
      </c>
      <c r="K68" s="56" t="s">
        <v>10</v>
      </c>
      <c r="L68" s="189"/>
    </row>
    <row r="69" spans="1:12" ht="15" customHeight="1">
      <c r="A69" s="50"/>
      <c r="B69" s="51" t="s">
        <v>161</v>
      </c>
      <c r="C69" s="52"/>
      <c r="E69" s="53" t="s">
        <v>190</v>
      </c>
      <c r="J69" s="55">
        <f>1*3.25*6.75</f>
        <v>21.9375</v>
      </c>
      <c r="K69" s="56" t="s">
        <v>10</v>
      </c>
      <c r="L69" s="189"/>
    </row>
    <row r="70" spans="1:12" ht="15" customHeight="1">
      <c r="A70" s="50"/>
      <c r="B70" s="51" t="s">
        <v>115</v>
      </c>
      <c r="C70" s="52"/>
      <c r="E70" s="53" t="s">
        <v>160</v>
      </c>
      <c r="J70" s="55">
        <f>1*3*4</f>
        <v>12</v>
      </c>
      <c r="K70" s="56" t="s">
        <v>10</v>
      </c>
      <c r="L70" s="189"/>
    </row>
    <row r="71" spans="1:12" ht="15" customHeight="1">
      <c r="A71" s="50"/>
      <c r="B71" s="51" t="s">
        <v>115</v>
      </c>
      <c r="C71" s="52"/>
      <c r="E71" s="53" t="s">
        <v>143</v>
      </c>
      <c r="J71" s="55">
        <f>1*5*4</f>
        <v>20</v>
      </c>
      <c r="K71" s="56" t="s">
        <v>10</v>
      </c>
      <c r="L71" s="189"/>
    </row>
    <row r="72" spans="1:12" ht="15" customHeight="1">
      <c r="A72" s="50"/>
      <c r="B72" s="51" t="s">
        <v>161</v>
      </c>
      <c r="C72" s="52"/>
      <c r="E72" s="53" t="s">
        <v>191</v>
      </c>
      <c r="J72" s="55">
        <f>1*3*6.5</f>
        <v>19.5</v>
      </c>
      <c r="K72" s="56" t="s">
        <v>10</v>
      </c>
      <c r="L72" s="189"/>
    </row>
    <row r="73" spans="1:12" ht="15" customHeight="1">
      <c r="A73" s="50"/>
      <c r="B73" s="51" t="s">
        <v>115</v>
      </c>
      <c r="C73" s="52"/>
      <c r="E73" s="53" t="s">
        <v>192</v>
      </c>
      <c r="J73" s="55">
        <v>24</v>
      </c>
      <c r="K73" s="56" t="s">
        <v>10</v>
      </c>
      <c r="L73" s="189"/>
    </row>
    <row r="74" spans="1:12" ht="15" customHeight="1">
      <c r="A74" s="50"/>
      <c r="B74" s="51" t="s">
        <v>161</v>
      </c>
      <c r="C74" s="52"/>
      <c r="E74" s="53" t="s">
        <v>192</v>
      </c>
      <c r="J74" s="55">
        <v>24</v>
      </c>
      <c r="K74" s="56" t="s">
        <v>10</v>
      </c>
      <c r="L74" s="189"/>
    </row>
    <row r="75" spans="1:12" ht="15" customHeight="1">
      <c r="A75" s="50"/>
      <c r="B75" s="51" t="s">
        <v>161</v>
      </c>
      <c r="C75" s="52"/>
      <c r="E75" s="53" t="s">
        <v>193</v>
      </c>
      <c r="J75" s="55">
        <f>3.25*6.5</f>
        <v>21.125</v>
      </c>
      <c r="K75" s="56" t="s">
        <v>10</v>
      </c>
      <c r="L75" s="189"/>
    </row>
    <row r="76" spans="1:12" ht="15" customHeight="1">
      <c r="A76" s="50"/>
      <c r="B76" s="51" t="s">
        <v>115</v>
      </c>
      <c r="C76" s="52"/>
      <c r="E76" s="53" t="s">
        <v>193</v>
      </c>
      <c r="J76" s="55">
        <f>3.25*6.5</f>
        <v>21.125</v>
      </c>
      <c r="K76" s="56" t="s">
        <v>10</v>
      </c>
      <c r="L76" s="189"/>
    </row>
    <row r="77" spans="1:12" ht="15" customHeight="1">
      <c r="A77" s="50"/>
      <c r="B77" s="51" t="s">
        <v>115</v>
      </c>
      <c r="C77" s="52"/>
      <c r="E77" s="53" t="s">
        <v>192</v>
      </c>
      <c r="J77" s="55">
        <f>24</f>
        <v>24</v>
      </c>
      <c r="K77" s="56" t="s">
        <v>10</v>
      </c>
      <c r="L77" s="189"/>
    </row>
    <row r="78" spans="1:12" ht="15" customHeight="1">
      <c r="A78" s="50"/>
      <c r="B78" s="51" t="s">
        <v>115</v>
      </c>
      <c r="C78" s="52"/>
      <c r="E78" s="53" t="s">
        <v>194</v>
      </c>
      <c r="J78" s="55">
        <v>24</v>
      </c>
      <c r="K78" s="56" t="s">
        <v>10</v>
      </c>
      <c r="L78" s="189"/>
    </row>
    <row r="79" spans="1:12" ht="15" customHeight="1">
      <c r="A79" s="50"/>
      <c r="B79" s="51" t="s">
        <v>200</v>
      </c>
      <c r="C79" s="52"/>
      <c r="E79" s="53" t="s">
        <v>195</v>
      </c>
      <c r="J79" s="55">
        <f>13*4</f>
        <v>52</v>
      </c>
      <c r="K79" s="56" t="s">
        <v>10</v>
      </c>
      <c r="L79" s="189"/>
    </row>
    <row r="80" spans="1:12" ht="15" customHeight="1">
      <c r="A80" s="50"/>
      <c r="B80" s="51" t="s">
        <v>199</v>
      </c>
      <c r="C80" s="52"/>
      <c r="E80" s="53" t="s">
        <v>196</v>
      </c>
      <c r="J80" s="55">
        <f>1*3*2.5</f>
        <v>7.5</v>
      </c>
      <c r="K80" s="56" t="s">
        <v>10</v>
      </c>
      <c r="L80" s="189"/>
    </row>
    <row r="81" spans="1:12" ht="15" customHeight="1">
      <c r="A81" s="50"/>
      <c r="B81" s="51" t="s">
        <v>116</v>
      </c>
      <c r="C81" s="52"/>
      <c r="E81" s="53" t="s">
        <v>197</v>
      </c>
      <c r="J81" s="55">
        <f>1*2.5*6</f>
        <v>15</v>
      </c>
      <c r="K81" s="56" t="s">
        <v>10</v>
      </c>
      <c r="L81" s="189"/>
    </row>
    <row r="82" spans="1:12" ht="15" customHeight="1">
      <c r="A82" s="50"/>
      <c r="B82" s="59"/>
      <c r="C82" s="52"/>
      <c r="J82" s="57">
        <f>SUM(J62:J81)</f>
        <v>429.6875</v>
      </c>
      <c r="K82" s="58" t="s">
        <v>10</v>
      </c>
      <c r="L82" s="189"/>
    </row>
    <row r="83" spans="1:12" ht="15" customHeight="1">
      <c r="A83" s="50"/>
      <c r="B83" s="59"/>
      <c r="C83" s="52"/>
      <c r="L83" s="189"/>
    </row>
    <row r="84" spans="1:12" ht="15" customHeight="1">
      <c r="A84" s="50"/>
      <c r="B84" s="59"/>
      <c r="C84" s="52"/>
      <c r="J84" s="57">
        <f>J59-J82</f>
        <v>10286.9125</v>
      </c>
      <c r="K84" s="58" t="s">
        <v>10</v>
      </c>
      <c r="L84" s="189"/>
    </row>
    <row r="85" spans="1:12" ht="15" customHeight="1">
      <c r="L85" s="189"/>
    </row>
    <row r="86" spans="1:12" ht="15" customHeight="1">
      <c r="A86" s="50">
        <v>11</v>
      </c>
      <c r="B86" s="51" t="s">
        <v>125</v>
      </c>
      <c r="C86" s="52"/>
      <c r="L86" s="189"/>
    </row>
    <row r="87" spans="1:12" ht="15" customHeight="1">
      <c r="A87" s="50"/>
      <c r="B87" s="51" t="s">
        <v>454</v>
      </c>
      <c r="C87" s="52"/>
      <c r="E87" s="53" t="s">
        <v>141</v>
      </c>
      <c r="J87" s="55">
        <f>1*20*20</f>
        <v>400</v>
      </c>
      <c r="K87" s="56" t="s">
        <v>10</v>
      </c>
      <c r="L87" s="189"/>
    </row>
    <row r="88" spans="1:12" ht="15" customHeight="1">
      <c r="A88" s="50"/>
      <c r="B88" s="51" t="s">
        <v>158</v>
      </c>
      <c r="C88" s="52"/>
      <c r="E88" s="53" t="s">
        <v>463</v>
      </c>
      <c r="J88" s="55">
        <f>1*14.5*7.33</f>
        <v>106.285</v>
      </c>
      <c r="K88" s="56" t="s">
        <v>10</v>
      </c>
      <c r="L88" s="189"/>
    </row>
    <row r="89" spans="1:12" ht="15" customHeight="1">
      <c r="A89" s="50"/>
      <c r="B89" s="51" t="s">
        <v>461</v>
      </c>
      <c r="C89" s="52"/>
      <c r="E89" s="53" t="s">
        <v>464</v>
      </c>
      <c r="J89" s="55">
        <f>12*12*7.5</f>
        <v>1080</v>
      </c>
      <c r="K89" s="56" t="s">
        <v>10</v>
      </c>
      <c r="L89" s="189"/>
    </row>
    <row r="90" spans="1:12" ht="15" customHeight="1">
      <c r="A90" s="50"/>
      <c r="B90" s="51" t="s">
        <v>462</v>
      </c>
      <c r="C90" s="52"/>
      <c r="E90" s="53" t="s">
        <v>465</v>
      </c>
      <c r="J90" s="55">
        <f>8*16*14</f>
        <v>1792</v>
      </c>
      <c r="K90" s="56" t="s">
        <v>10</v>
      </c>
      <c r="L90" s="189"/>
    </row>
    <row r="91" spans="1:12" ht="15" customHeight="1">
      <c r="A91" s="50"/>
      <c r="B91" s="59"/>
      <c r="C91" s="52"/>
      <c r="J91" s="57">
        <f>SUM(J87:J90)</f>
        <v>3378.2849999999999</v>
      </c>
      <c r="K91" s="58" t="s">
        <v>10</v>
      </c>
      <c r="L91" s="189"/>
    </row>
    <row r="92" spans="1:12" ht="15" customHeight="1">
      <c r="A92" s="50"/>
      <c r="B92" s="59"/>
      <c r="C92" s="52"/>
      <c r="L92" s="189"/>
    </row>
    <row r="93" spans="1:12" ht="15" customHeight="1">
      <c r="A93" s="50"/>
      <c r="B93" s="51" t="s">
        <v>74</v>
      </c>
      <c r="C93" s="52"/>
      <c r="L93" s="189"/>
    </row>
    <row r="94" spans="1:12" ht="15" customHeight="1">
      <c r="A94" s="50"/>
      <c r="B94" s="51" t="s">
        <v>115</v>
      </c>
      <c r="C94" s="52"/>
      <c r="E94" s="53" t="s">
        <v>194</v>
      </c>
      <c r="J94" s="55">
        <f>2*3*4</f>
        <v>24</v>
      </c>
      <c r="K94" s="56" t="s">
        <v>10</v>
      </c>
      <c r="L94" s="189"/>
    </row>
    <row r="95" spans="1:12" ht="15" customHeight="1">
      <c r="A95" s="50"/>
      <c r="B95" s="51" t="s">
        <v>116</v>
      </c>
      <c r="C95" s="52"/>
      <c r="E95" s="53" t="s">
        <v>121</v>
      </c>
      <c r="J95" s="55">
        <f>1*3*7</f>
        <v>21</v>
      </c>
      <c r="K95" s="56" t="s">
        <v>10</v>
      </c>
      <c r="L95" s="189"/>
    </row>
    <row r="96" spans="1:12" ht="15" customHeight="1">
      <c r="A96" s="50"/>
      <c r="B96" s="51" t="s">
        <v>116</v>
      </c>
      <c r="C96" s="52"/>
      <c r="E96" s="53" t="s">
        <v>144</v>
      </c>
      <c r="J96" s="55">
        <f>1*2.5*6.5</f>
        <v>16.25</v>
      </c>
      <c r="K96" s="56" t="s">
        <v>10</v>
      </c>
      <c r="L96" s="189"/>
    </row>
    <row r="97" spans="1:12" ht="15" customHeight="1">
      <c r="A97" s="50"/>
      <c r="B97" s="51"/>
      <c r="C97" s="52"/>
      <c r="J97" s="57">
        <f>SUM(J94:J96)</f>
        <v>61.25</v>
      </c>
      <c r="K97" s="58" t="s">
        <v>10</v>
      </c>
      <c r="L97" s="189"/>
    </row>
    <row r="98" spans="1:12" ht="15" customHeight="1">
      <c r="A98" s="50"/>
      <c r="B98" s="59"/>
      <c r="C98" s="52"/>
      <c r="L98" s="189"/>
    </row>
    <row r="99" spans="1:12" ht="15" customHeight="1">
      <c r="A99" s="50"/>
      <c r="B99" s="59"/>
      <c r="C99" s="52"/>
      <c r="J99" s="57">
        <f>J91-J97</f>
        <v>3317.0349999999999</v>
      </c>
      <c r="K99" s="58" t="s">
        <v>10</v>
      </c>
      <c r="L99" s="189"/>
    </row>
    <row r="100" spans="1:12" ht="15" customHeight="1">
      <c r="L100" s="189"/>
    </row>
    <row r="101" spans="1:12" ht="15" customHeight="1">
      <c r="A101" s="50">
        <v>12</v>
      </c>
      <c r="B101" s="51" t="s">
        <v>134</v>
      </c>
      <c r="C101" s="52"/>
      <c r="J101" s="53"/>
      <c r="K101" s="53"/>
      <c r="L101" s="189"/>
    </row>
    <row r="102" spans="1:12" ht="15" customHeight="1">
      <c r="A102" s="50"/>
      <c r="B102" s="51" t="s">
        <v>466</v>
      </c>
      <c r="C102" s="52"/>
      <c r="E102" s="53" t="s">
        <v>467</v>
      </c>
      <c r="J102" s="55">
        <f>2*(8+8)*8</f>
        <v>256</v>
      </c>
      <c r="K102" s="56" t="s">
        <v>10</v>
      </c>
      <c r="L102" s="189"/>
    </row>
    <row r="103" spans="1:12" ht="15" customHeight="1">
      <c r="A103" s="50"/>
      <c r="B103" s="51" t="s">
        <v>157</v>
      </c>
      <c r="C103" s="52"/>
      <c r="E103" s="53" t="s">
        <v>468</v>
      </c>
      <c r="J103" s="55">
        <f>1*8*8</f>
        <v>64</v>
      </c>
      <c r="K103" s="56" t="s">
        <v>10</v>
      </c>
      <c r="L103" s="189"/>
    </row>
    <row r="104" spans="1:12" ht="15" customHeight="1">
      <c r="A104" s="50"/>
      <c r="B104" s="51" t="s">
        <v>201</v>
      </c>
      <c r="C104" s="52"/>
      <c r="E104" s="53" t="s">
        <v>204</v>
      </c>
      <c r="J104" s="55">
        <f>2*(7+5.82)*7</f>
        <v>179.48000000000002</v>
      </c>
      <c r="K104" s="56" t="s">
        <v>10</v>
      </c>
      <c r="L104" s="189"/>
    </row>
    <row r="105" spans="1:12" ht="15" customHeight="1">
      <c r="A105" s="50"/>
      <c r="B105" s="51" t="s">
        <v>157</v>
      </c>
      <c r="C105" s="52"/>
      <c r="E105" s="53" t="s">
        <v>205</v>
      </c>
      <c r="J105" s="55">
        <f>1*7*5.82</f>
        <v>40.74</v>
      </c>
      <c r="K105" s="56" t="s">
        <v>10</v>
      </c>
      <c r="L105" s="189"/>
    </row>
    <row r="106" spans="1:12" ht="15" customHeight="1">
      <c r="A106" s="50"/>
      <c r="B106" s="59"/>
      <c r="C106" s="52"/>
      <c r="J106" s="57">
        <f>SUM(J102:J105)</f>
        <v>540.22</v>
      </c>
      <c r="K106" s="58" t="s">
        <v>10</v>
      </c>
      <c r="L106" s="189"/>
    </row>
    <row r="107" spans="1:12" ht="15" customHeight="1">
      <c r="L107" s="189"/>
    </row>
    <row r="108" spans="1:12" ht="15" customHeight="1">
      <c r="A108" s="50">
        <v>13</v>
      </c>
      <c r="B108" s="51" t="s">
        <v>206</v>
      </c>
      <c r="C108" s="52"/>
      <c r="L108" s="189"/>
    </row>
    <row r="109" spans="1:12" ht="15" customHeight="1">
      <c r="A109" s="50"/>
      <c r="B109" s="51"/>
      <c r="C109" s="52"/>
      <c r="E109" s="53" t="s">
        <v>469</v>
      </c>
      <c r="J109" s="55">
        <f>7*2*3.75*7</f>
        <v>367.5</v>
      </c>
      <c r="K109" s="56" t="s">
        <v>10</v>
      </c>
      <c r="L109" s="189"/>
    </row>
    <row r="110" spans="1:12" ht="15" customHeight="1">
      <c r="A110" s="50"/>
      <c r="B110" s="51"/>
      <c r="C110" s="52"/>
      <c r="E110" s="53" t="s">
        <v>470</v>
      </c>
      <c r="J110" s="55">
        <f>4*2*2.5*7</f>
        <v>140</v>
      </c>
      <c r="K110" s="56" t="s">
        <v>10</v>
      </c>
      <c r="L110" s="189"/>
    </row>
    <row r="111" spans="1:12" ht="15" customHeight="1">
      <c r="A111" s="50"/>
      <c r="B111" s="59"/>
      <c r="C111" s="52"/>
      <c r="J111" s="57">
        <f>SUM(J109:J110)</f>
        <v>507.5</v>
      </c>
      <c r="K111" s="58" t="s">
        <v>10</v>
      </c>
      <c r="L111" s="189"/>
    </row>
    <row r="112" spans="1:12" ht="15" customHeight="1">
      <c r="L112" s="189"/>
    </row>
    <row r="113" spans="1:19" ht="15" customHeight="1">
      <c r="A113" s="50">
        <v>14</v>
      </c>
      <c r="B113" s="51" t="s">
        <v>209</v>
      </c>
      <c r="C113" s="52"/>
      <c r="L113" s="189"/>
    </row>
    <row r="114" spans="1:19" ht="15" customHeight="1">
      <c r="A114" s="50"/>
      <c r="B114" s="51" t="s">
        <v>471</v>
      </c>
      <c r="C114" s="52"/>
      <c r="E114" s="53" t="s">
        <v>498</v>
      </c>
      <c r="J114" s="182">
        <v>18</v>
      </c>
      <c r="K114" s="58" t="s">
        <v>3</v>
      </c>
      <c r="L114" s="189"/>
    </row>
    <row r="115" spans="1:19" ht="15" customHeight="1">
      <c r="A115" s="50"/>
      <c r="B115" s="59"/>
      <c r="C115" s="52"/>
      <c r="L115" s="189"/>
    </row>
    <row r="116" spans="1:19" ht="15" customHeight="1">
      <c r="A116" s="50">
        <v>15</v>
      </c>
      <c r="B116" s="51" t="s">
        <v>210</v>
      </c>
      <c r="C116" s="52"/>
      <c r="L116" s="189"/>
    </row>
    <row r="117" spans="1:19" ht="15" customHeight="1">
      <c r="A117" s="50"/>
      <c r="B117" s="51" t="s">
        <v>211</v>
      </c>
      <c r="C117" s="52"/>
      <c r="L117" s="189"/>
    </row>
    <row r="118" spans="1:19" ht="15" customHeight="1">
      <c r="A118" s="50"/>
      <c r="B118" s="59"/>
      <c r="C118" s="52"/>
      <c r="E118" s="53" t="s">
        <v>472</v>
      </c>
      <c r="J118" s="55">
        <v>28</v>
      </c>
      <c r="K118" s="56" t="s">
        <v>10</v>
      </c>
      <c r="L118" s="189"/>
    </row>
    <row r="119" spans="1:19" ht="15" customHeight="1">
      <c r="A119" s="50"/>
      <c r="B119" s="59"/>
      <c r="C119" s="52"/>
      <c r="E119" s="53" t="s">
        <v>121</v>
      </c>
      <c r="J119" s="55">
        <f>1*3*7</f>
        <v>21</v>
      </c>
      <c r="K119" s="56" t="s">
        <v>10</v>
      </c>
      <c r="L119" s="189"/>
    </row>
    <row r="120" spans="1:19" ht="15" customHeight="1">
      <c r="A120" s="50"/>
      <c r="B120" s="59" t="s">
        <v>499</v>
      </c>
      <c r="C120" s="52"/>
      <c r="E120" s="53" t="s">
        <v>500</v>
      </c>
      <c r="J120" s="55">
        <f>3*4*8</f>
        <v>96</v>
      </c>
      <c r="K120" s="56" t="s">
        <v>10</v>
      </c>
      <c r="L120" s="189"/>
    </row>
    <row r="121" spans="1:19" ht="15" customHeight="1">
      <c r="A121" s="50"/>
      <c r="B121" s="59"/>
      <c r="C121" s="52"/>
      <c r="J121" s="57">
        <f>SUM(J118:J120)</f>
        <v>145</v>
      </c>
      <c r="K121" s="58" t="s">
        <v>10</v>
      </c>
      <c r="L121" s="190"/>
      <c r="M121" s="190"/>
      <c r="N121" s="190"/>
      <c r="O121" s="190"/>
      <c r="P121" s="190"/>
      <c r="Q121" s="190"/>
      <c r="R121" s="190"/>
      <c r="S121" s="190"/>
    </row>
    <row r="122" spans="1:19" ht="15" customHeight="1">
      <c r="A122" s="50"/>
      <c r="B122" s="59"/>
      <c r="C122" s="52"/>
      <c r="J122" s="57"/>
      <c r="K122" s="58"/>
      <c r="L122" s="190"/>
      <c r="M122" s="190"/>
      <c r="N122" s="190"/>
      <c r="O122" s="190"/>
      <c r="P122" s="190"/>
      <c r="Q122" s="190"/>
      <c r="R122" s="190"/>
      <c r="S122" s="190"/>
    </row>
    <row r="123" spans="1:19" ht="15" customHeight="1">
      <c r="A123" s="50"/>
      <c r="B123" s="59" t="s">
        <v>212</v>
      </c>
      <c r="C123" s="52"/>
      <c r="L123" s="190"/>
      <c r="M123" s="190"/>
      <c r="N123" s="190"/>
      <c r="O123" s="190"/>
      <c r="P123" s="190"/>
      <c r="Q123" s="190"/>
      <c r="R123" s="190"/>
      <c r="S123" s="190"/>
    </row>
    <row r="124" spans="1:19" ht="15" customHeight="1">
      <c r="A124" s="50">
        <v>1</v>
      </c>
      <c r="B124" s="51" t="s">
        <v>213</v>
      </c>
      <c r="C124" s="52"/>
      <c r="L124" s="190"/>
      <c r="M124" s="190"/>
      <c r="N124" s="190"/>
      <c r="O124" s="190"/>
      <c r="P124" s="190"/>
      <c r="Q124" s="190"/>
      <c r="R124" s="190"/>
      <c r="S124" s="190"/>
    </row>
    <row r="125" spans="1:19" ht="15" customHeight="1">
      <c r="A125" s="50"/>
      <c r="B125" s="59"/>
      <c r="C125" s="52"/>
      <c r="E125" s="53" t="s">
        <v>214</v>
      </c>
      <c r="J125" s="55">
        <f>1*6*2.5</f>
        <v>15</v>
      </c>
      <c r="K125" s="56" t="s">
        <v>10</v>
      </c>
      <c r="L125" s="190"/>
      <c r="M125" s="190"/>
      <c r="N125" s="190"/>
      <c r="O125" s="190"/>
      <c r="P125" s="190"/>
      <c r="Q125" s="190"/>
      <c r="R125" s="190"/>
      <c r="S125" s="190"/>
    </row>
    <row r="126" spans="1:19" ht="15" customHeight="1">
      <c r="A126" s="50"/>
      <c r="B126" s="59"/>
      <c r="C126" s="52"/>
      <c r="J126" s="57">
        <f>SUM(J125:J125)</f>
        <v>15</v>
      </c>
      <c r="K126" s="58" t="s">
        <v>10</v>
      </c>
      <c r="L126" s="190"/>
      <c r="M126" s="190"/>
      <c r="N126" s="190"/>
      <c r="O126" s="190"/>
      <c r="P126" s="190"/>
      <c r="Q126" s="190"/>
      <c r="R126" s="190"/>
      <c r="S126" s="190"/>
    </row>
    <row r="127" spans="1:19" ht="15" customHeight="1">
      <c r="L127" s="190"/>
      <c r="M127" s="190"/>
      <c r="N127" s="190"/>
      <c r="O127" s="190"/>
      <c r="P127" s="190"/>
      <c r="Q127" s="190"/>
      <c r="R127" s="190"/>
      <c r="S127" s="190"/>
    </row>
    <row r="128" spans="1:19" ht="15" customHeight="1">
      <c r="A128" s="50">
        <v>2</v>
      </c>
      <c r="B128" s="51" t="s">
        <v>215</v>
      </c>
      <c r="C128" s="52"/>
      <c r="L128" s="190"/>
      <c r="M128" s="190"/>
      <c r="N128" s="190"/>
      <c r="O128" s="190"/>
      <c r="P128" s="190"/>
      <c r="Q128" s="190"/>
      <c r="R128" s="190"/>
      <c r="S128" s="190"/>
    </row>
    <row r="129" spans="1:19" ht="15" customHeight="1">
      <c r="A129" s="50"/>
      <c r="B129" s="51"/>
      <c r="C129" s="52"/>
      <c r="E129" s="53" t="s">
        <v>473</v>
      </c>
      <c r="J129" s="55">
        <f>1*52*9</f>
        <v>468</v>
      </c>
      <c r="K129" s="56" t="s">
        <v>10</v>
      </c>
      <c r="L129" s="190"/>
      <c r="M129" s="190"/>
      <c r="N129" s="190"/>
      <c r="O129" s="190"/>
      <c r="P129" s="190"/>
      <c r="Q129" s="190"/>
      <c r="R129" s="190"/>
      <c r="S129" s="190"/>
    </row>
    <row r="130" spans="1:19" ht="15" customHeight="1">
      <c r="A130" s="50"/>
      <c r="B130" s="51"/>
      <c r="C130" s="52"/>
      <c r="J130" s="57">
        <f>SUM(J129:J129)</f>
        <v>468</v>
      </c>
      <c r="K130" s="58" t="s">
        <v>10</v>
      </c>
      <c r="L130" s="190"/>
      <c r="M130" s="190"/>
      <c r="N130" s="190"/>
      <c r="O130" s="190"/>
      <c r="P130" s="190"/>
      <c r="Q130" s="190"/>
      <c r="R130" s="190"/>
      <c r="S130" s="190"/>
    </row>
    <row r="131" spans="1:19" ht="15" customHeight="1">
      <c r="A131" s="50"/>
      <c r="B131" s="51"/>
      <c r="C131" s="52"/>
      <c r="L131" s="190"/>
      <c r="M131" s="190"/>
      <c r="N131" s="190"/>
      <c r="O131" s="190"/>
      <c r="P131" s="190"/>
      <c r="Q131" s="190"/>
      <c r="R131" s="190"/>
      <c r="S131" s="190"/>
    </row>
    <row r="132" spans="1:19" ht="15" customHeight="1">
      <c r="A132" s="50">
        <v>3</v>
      </c>
      <c r="B132" s="51" t="s">
        <v>216</v>
      </c>
      <c r="C132" s="52"/>
      <c r="L132" s="190"/>
      <c r="M132" s="190"/>
      <c r="N132" s="190"/>
      <c r="O132" s="190"/>
      <c r="P132" s="190"/>
      <c r="Q132" s="190"/>
      <c r="R132" s="190"/>
      <c r="S132" s="190"/>
    </row>
    <row r="133" spans="1:19" ht="15" customHeight="1">
      <c r="A133" s="50"/>
      <c r="B133" s="51"/>
      <c r="C133" s="52"/>
      <c r="E133" s="53" t="s">
        <v>503</v>
      </c>
      <c r="J133" s="55">
        <f>4*10*2</f>
        <v>80</v>
      </c>
      <c r="K133" s="56" t="s">
        <v>10</v>
      </c>
      <c r="L133" s="190"/>
      <c r="M133" s="190"/>
      <c r="N133" s="190"/>
      <c r="O133" s="190"/>
      <c r="P133" s="190"/>
      <c r="Q133" s="190"/>
      <c r="R133" s="190"/>
      <c r="S133" s="190"/>
    </row>
    <row r="134" spans="1:19" ht="15" customHeight="1">
      <c r="A134" s="50"/>
      <c r="B134" s="51" t="s">
        <v>501</v>
      </c>
      <c r="C134" s="52"/>
      <c r="E134" s="53" t="s">
        <v>502</v>
      </c>
      <c r="J134" s="55">
        <f>3*7*2</f>
        <v>42</v>
      </c>
      <c r="K134" s="56" t="s">
        <v>10</v>
      </c>
      <c r="L134" s="190"/>
      <c r="M134" s="190"/>
      <c r="N134" s="190"/>
      <c r="O134" s="190"/>
      <c r="P134" s="190"/>
      <c r="Q134" s="190"/>
      <c r="R134" s="190"/>
      <c r="S134" s="190"/>
    </row>
    <row r="135" spans="1:19" ht="15" customHeight="1">
      <c r="A135" s="50"/>
      <c r="B135" s="51"/>
      <c r="C135" s="52"/>
      <c r="E135" s="53" t="s">
        <v>502</v>
      </c>
      <c r="J135" s="55">
        <f>3*7*2</f>
        <v>42</v>
      </c>
      <c r="K135" s="56" t="s">
        <v>10</v>
      </c>
      <c r="L135" s="190"/>
      <c r="M135" s="190"/>
      <c r="N135" s="190"/>
      <c r="O135" s="190"/>
      <c r="P135" s="190"/>
      <c r="Q135" s="190"/>
      <c r="R135" s="190"/>
      <c r="S135" s="190"/>
    </row>
    <row r="136" spans="1:19" ht="15" customHeight="1">
      <c r="A136" s="50"/>
      <c r="B136" s="59"/>
      <c r="C136" s="52"/>
      <c r="J136" s="57">
        <f>SUM(J133:J135)</f>
        <v>164</v>
      </c>
      <c r="K136" s="58" t="s">
        <v>10</v>
      </c>
      <c r="L136" s="190"/>
      <c r="M136" s="190"/>
      <c r="N136" s="190"/>
      <c r="O136" s="190"/>
      <c r="P136" s="190"/>
      <c r="Q136" s="190"/>
      <c r="R136" s="190"/>
      <c r="S136" s="190"/>
    </row>
    <row r="137" spans="1:19" ht="15" customHeight="1">
      <c r="A137" s="50"/>
      <c r="B137" s="59"/>
      <c r="C137" s="52"/>
      <c r="J137" s="57"/>
      <c r="K137" s="58"/>
      <c r="L137" s="190"/>
      <c r="M137" s="190"/>
      <c r="N137" s="190"/>
      <c r="O137" s="190"/>
      <c r="P137" s="190"/>
      <c r="Q137" s="190"/>
      <c r="R137" s="190"/>
      <c r="S137" s="190"/>
    </row>
    <row r="138" spans="1:19" ht="15" customHeight="1">
      <c r="A138" s="50">
        <v>4</v>
      </c>
      <c r="B138" s="51" t="s">
        <v>219</v>
      </c>
      <c r="C138" s="52"/>
      <c r="L138" s="191" t="s">
        <v>79</v>
      </c>
      <c r="M138" s="190"/>
      <c r="N138" s="190"/>
      <c r="O138" s="190"/>
      <c r="P138" s="190"/>
      <c r="Q138" s="190"/>
      <c r="R138" s="190"/>
      <c r="S138" s="190"/>
    </row>
    <row r="139" spans="1:19" ht="15" customHeight="1">
      <c r="A139" s="50"/>
      <c r="B139" s="51" t="s">
        <v>454</v>
      </c>
      <c r="C139" s="52"/>
      <c r="E139" s="53" t="s">
        <v>142</v>
      </c>
      <c r="J139" s="55">
        <f>2*(20+20)*10</f>
        <v>800</v>
      </c>
      <c r="K139" s="56" t="s">
        <v>10</v>
      </c>
      <c r="L139" s="190"/>
      <c r="M139" s="190"/>
      <c r="N139" s="190"/>
      <c r="O139" s="190"/>
      <c r="P139" s="190"/>
      <c r="Q139" s="190"/>
      <c r="R139" s="190"/>
      <c r="S139" s="190"/>
    </row>
    <row r="140" spans="1:19" ht="15" customHeight="1">
      <c r="A140" s="50"/>
      <c r="B140" s="51" t="s">
        <v>474</v>
      </c>
      <c r="C140" s="52"/>
      <c r="E140" s="53" t="s">
        <v>141</v>
      </c>
      <c r="J140" s="55">
        <f>1*20*20</f>
        <v>400</v>
      </c>
      <c r="K140" s="56" t="s">
        <v>10</v>
      </c>
      <c r="L140" s="190"/>
      <c r="M140" s="190"/>
      <c r="N140" s="190"/>
      <c r="O140" s="190"/>
      <c r="P140" s="190"/>
      <c r="Q140" s="190"/>
      <c r="R140" s="190"/>
      <c r="S140" s="190"/>
    </row>
    <row r="141" spans="1:19" ht="15" customHeight="1">
      <c r="A141" s="50"/>
      <c r="B141" s="51" t="s">
        <v>158</v>
      </c>
      <c r="C141" s="52"/>
      <c r="E141" s="53" t="s">
        <v>141</v>
      </c>
      <c r="J141" s="55">
        <f>1*20*20</f>
        <v>400</v>
      </c>
      <c r="K141" s="56" t="s">
        <v>10</v>
      </c>
      <c r="L141" s="190"/>
      <c r="M141" s="190"/>
      <c r="N141" s="190"/>
      <c r="O141" s="190"/>
      <c r="P141" s="190"/>
      <c r="Q141" s="190"/>
      <c r="R141" s="190"/>
      <c r="S141" s="190"/>
    </row>
    <row r="142" spans="1:19" ht="15" customHeight="1">
      <c r="A142" s="50"/>
      <c r="B142" s="51" t="s">
        <v>159</v>
      </c>
      <c r="C142" s="52"/>
      <c r="E142" s="53" t="s">
        <v>220</v>
      </c>
      <c r="J142" s="55">
        <f>2*(14+20)*7.5</f>
        <v>510</v>
      </c>
      <c r="K142" s="56" t="s">
        <v>10</v>
      </c>
      <c r="L142" s="190"/>
      <c r="M142" s="190"/>
      <c r="N142" s="190"/>
      <c r="O142" s="190"/>
      <c r="P142" s="190"/>
      <c r="Q142" s="190"/>
      <c r="R142" s="190"/>
      <c r="S142" s="190"/>
    </row>
    <row r="143" spans="1:19" ht="15" customHeight="1">
      <c r="A143" s="50"/>
      <c r="B143" s="51" t="s">
        <v>504</v>
      </c>
      <c r="C143" s="52"/>
      <c r="E143" s="53" t="s">
        <v>505</v>
      </c>
      <c r="J143" s="55">
        <f>2*(22+14)*7.5</f>
        <v>540</v>
      </c>
      <c r="K143" s="56" t="s">
        <v>10</v>
      </c>
      <c r="L143" s="190"/>
      <c r="M143" s="190"/>
      <c r="N143" s="190"/>
      <c r="O143" s="190"/>
      <c r="P143" s="190"/>
      <c r="Q143" s="190"/>
      <c r="R143" s="190"/>
      <c r="S143" s="190"/>
    </row>
    <row r="144" spans="1:19" ht="15" customHeight="1">
      <c r="A144" s="50"/>
      <c r="B144" s="51" t="s">
        <v>145</v>
      </c>
      <c r="C144" s="52"/>
      <c r="E144" s="53" t="s">
        <v>506</v>
      </c>
      <c r="J144" s="55">
        <f>2*130*4</f>
        <v>1040</v>
      </c>
      <c r="K144" s="56" t="s">
        <v>10</v>
      </c>
      <c r="L144" s="190"/>
      <c r="M144" s="190"/>
      <c r="N144" s="190"/>
      <c r="O144" s="190"/>
      <c r="P144" s="190"/>
      <c r="Q144" s="190"/>
      <c r="R144" s="190"/>
      <c r="S144" s="190"/>
    </row>
    <row r="145" spans="1:19" ht="15" customHeight="1">
      <c r="A145" s="50"/>
      <c r="B145" s="59"/>
      <c r="C145" s="52"/>
      <c r="J145" s="57">
        <f>SUM(J139:J144)</f>
        <v>3690</v>
      </c>
      <c r="K145" s="58" t="s">
        <v>10</v>
      </c>
      <c r="L145" s="190"/>
      <c r="M145" s="190"/>
      <c r="N145" s="190"/>
      <c r="O145" s="190"/>
      <c r="P145" s="190"/>
      <c r="Q145" s="190"/>
      <c r="R145" s="190"/>
      <c r="S145" s="190"/>
    </row>
    <row r="146" spans="1:19" ht="15" customHeight="1">
      <c r="A146" s="50"/>
      <c r="B146" s="59"/>
      <c r="C146" s="52"/>
      <c r="L146" s="190"/>
      <c r="M146" s="190"/>
      <c r="N146" s="190"/>
      <c r="O146" s="190"/>
      <c r="P146" s="190"/>
      <c r="Q146" s="190"/>
      <c r="R146" s="190"/>
      <c r="S146" s="190"/>
    </row>
    <row r="147" spans="1:19" ht="15" customHeight="1">
      <c r="A147" s="50"/>
      <c r="B147" s="59" t="s">
        <v>74</v>
      </c>
      <c r="C147" s="52"/>
      <c r="L147" s="190"/>
      <c r="M147" s="190"/>
      <c r="N147" s="190"/>
      <c r="O147" s="190"/>
      <c r="P147" s="190"/>
      <c r="Q147" s="190"/>
      <c r="R147" s="190"/>
      <c r="S147" s="190"/>
    </row>
    <row r="148" spans="1:19" ht="15" customHeight="1">
      <c r="A148" s="50"/>
      <c r="B148" s="51" t="s">
        <v>116</v>
      </c>
      <c r="C148" s="52"/>
      <c r="E148" s="53" t="s">
        <v>222</v>
      </c>
      <c r="J148" s="55">
        <f>2*3.75*6.75</f>
        <v>50.625</v>
      </c>
      <c r="K148" s="56" t="s">
        <v>10</v>
      </c>
      <c r="L148" s="190"/>
      <c r="M148" s="190"/>
      <c r="N148" s="190"/>
      <c r="O148" s="190"/>
      <c r="P148" s="190"/>
      <c r="Q148" s="190"/>
      <c r="R148" s="190"/>
      <c r="S148" s="190"/>
    </row>
    <row r="149" spans="1:19" ht="15" customHeight="1">
      <c r="A149" s="50"/>
      <c r="B149" s="51" t="s">
        <v>116</v>
      </c>
      <c r="C149" s="52"/>
      <c r="E149" s="53" t="s">
        <v>138</v>
      </c>
      <c r="J149" s="55">
        <f>2*4*7</f>
        <v>56</v>
      </c>
      <c r="K149" s="56" t="s">
        <v>10</v>
      </c>
      <c r="L149" s="190"/>
      <c r="M149" s="190"/>
      <c r="N149" s="190"/>
      <c r="O149" s="190"/>
      <c r="P149" s="190"/>
      <c r="Q149" s="190"/>
      <c r="R149" s="190"/>
      <c r="S149" s="190"/>
    </row>
    <row r="150" spans="1:19" ht="15" customHeight="1">
      <c r="A150" s="50"/>
      <c r="B150" s="51" t="s">
        <v>115</v>
      </c>
      <c r="C150" s="52"/>
      <c r="E150" s="53" t="s">
        <v>223</v>
      </c>
      <c r="J150" s="55">
        <f>2*5*4</f>
        <v>40</v>
      </c>
      <c r="K150" s="56" t="s">
        <v>10</v>
      </c>
      <c r="L150" s="190"/>
      <c r="M150" s="190"/>
      <c r="N150" s="190"/>
      <c r="O150" s="190"/>
      <c r="P150" s="190"/>
      <c r="Q150" s="190"/>
      <c r="R150" s="190"/>
      <c r="S150" s="190"/>
    </row>
    <row r="151" spans="1:19" ht="15" customHeight="1">
      <c r="A151" s="50"/>
      <c r="B151" s="51" t="s">
        <v>198</v>
      </c>
      <c r="C151" s="52"/>
      <c r="E151" s="53" t="s">
        <v>224</v>
      </c>
      <c r="J151" s="55">
        <f>2*2.5*6.75</f>
        <v>33.75</v>
      </c>
      <c r="K151" s="56" t="s">
        <v>10</v>
      </c>
      <c r="L151" s="190"/>
      <c r="M151" s="190"/>
      <c r="N151" s="190"/>
      <c r="O151" s="190"/>
      <c r="P151" s="190"/>
      <c r="Q151" s="190"/>
      <c r="R151" s="190"/>
      <c r="S151" s="190"/>
    </row>
    <row r="152" spans="1:19" ht="15" customHeight="1">
      <c r="A152" s="50"/>
      <c r="B152" s="51" t="s">
        <v>115</v>
      </c>
      <c r="C152" s="52"/>
      <c r="E152" s="53" t="s">
        <v>143</v>
      </c>
      <c r="J152" s="55">
        <v>20</v>
      </c>
      <c r="K152" s="56" t="s">
        <v>10</v>
      </c>
      <c r="L152" s="190"/>
      <c r="M152" s="190"/>
      <c r="N152" s="190"/>
      <c r="O152" s="190"/>
      <c r="P152" s="190"/>
      <c r="Q152" s="190"/>
      <c r="R152" s="190"/>
      <c r="S152" s="190"/>
    </row>
    <row r="153" spans="1:19" ht="15" customHeight="1">
      <c r="A153" s="50"/>
      <c r="B153" s="51" t="s">
        <v>115</v>
      </c>
      <c r="C153" s="52"/>
      <c r="E153" s="53" t="s">
        <v>160</v>
      </c>
      <c r="J153" s="55">
        <v>12</v>
      </c>
      <c r="K153" s="56" t="s">
        <v>10</v>
      </c>
      <c r="L153" s="190"/>
      <c r="M153" s="190"/>
      <c r="N153" s="190"/>
      <c r="O153" s="190"/>
      <c r="P153" s="190"/>
      <c r="Q153" s="190"/>
      <c r="R153" s="190"/>
      <c r="S153" s="190"/>
    </row>
    <row r="154" spans="1:19" ht="15" customHeight="1">
      <c r="A154" s="50"/>
      <c r="B154" s="51" t="s">
        <v>115</v>
      </c>
      <c r="C154" s="52"/>
      <c r="E154" s="53" t="s">
        <v>160</v>
      </c>
      <c r="J154" s="55">
        <v>12</v>
      </c>
      <c r="K154" s="56" t="s">
        <v>10</v>
      </c>
      <c r="L154" s="190"/>
      <c r="M154" s="190"/>
      <c r="N154" s="190"/>
      <c r="O154" s="190"/>
      <c r="P154" s="190"/>
      <c r="Q154" s="190"/>
      <c r="R154" s="190"/>
      <c r="S154" s="190"/>
    </row>
    <row r="155" spans="1:19" ht="15" customHeight="1">
      <c r="A155" s="50"/>
      <c r="B155" s="51" t="s">
        <v>116</v>
      </c>
      <c r="C155" s="52"/>
      <c r="E155" s="53" t="s">
        <v>225</v>
      </c>
      <c r="J155" s="55">
        <f>1*3*6.75</f>
        <v>20.25</v>
      </c>
      <c r="K155" s="56" t="s">
        <v>10</v>
      </c>
      <c r="L155" s="190"/>
      <c r="M155" s="190"/>
      <c r="N155" s="190"/>
      <c r="O155" s="190"/>
      <c r="P155" s="190"/>
      <c r="Q155" s="190"/>
      <c r="R155" s="190"/>
      <c r="S155" s="190"/>
    </row>
    <row r="156" spans="1:19" ht="15" customHeight="1">
      <c r="A156" s="50"/>
      <c r="B156" s="51" t="s">
        <v>116</v>
      </c>
      <c r="C156" s="52"/>
      <c r="E156" s="53" t="s">
        <v>507</v>
      </c>
      <c r="J156" s="55">
        <f>5*3*6.75</f>
        <v>101.25</v>
      </c>
      <c r="K156" s="56" t="s">
        <v>10</v>
      </c>
      <c r="L156" s="190"/>
      <c r="M156" s="190"/>
      <c r="N156" s="190"/>
      <c r="O156" s="190"/>
      <c r="P156" s="190"/>
      <c r="Q156" s="190"/>
      <c r="R156" s="190"/>
      <c r="S156" s="190"/>
    </row>
    <row r="157" spans="1:19" ht="15" customHeight="1">
      <c r="A157" s="50"/>
      <c r="B157" s="59"/>
      <c r="C157" s="52"/>
      <c r="J157" s="57">
        <f>SUM(J148:J156)</f>
        <v>345.875</v>
      </c>
      <c r="K157" s="58" t="s">
        <v>10</v>
      </c>
      <c r="L157" s="190"/>
      <c r="M157" s="190"/>
      <c r="N157" s="190"/>
      <c r="O157" s="190"/>
      <c r="P157" s="190"/>
      <c r="Q157" s="190"/>
      <c r="R157" s="190"/>
      <c r="S157" s="190"/>
    </row>
    <row r="158" spans="1:19" ht="15" customHeight="1">
      <c r="A158" s="50"/>
      <c r="B158" s="59"/>
      <c r="C158" s="52"/>
      <c r="L158" s="190"/>
      <c r="M158" s="190"/>
      <c r="N158" s="190"/>
      <c r="O158" s="190"/>
      <c r="P158" s="190"/>
      <c r="Q158" s="190"/>
      <c r="R158" s="190"/>
      <c r="S158" s="190"/>
    </row>
    <row r="159" spans="1:19" ht="15" customHeight="1">
      <c r="A159" s="50"/>
      <c r="B159" s="59"/>
      <c r="C159" s="52"/>
      <c r="J159" s="57">
        <f>SUM(J145-J157)</f>
        <v>3344.125</v>
      </c>
      <c r="K159" s="58" t="s">
        <v>10</v>
      </c>
      <c r="L159" s="190"/>
      <c r="M159" s="190"/>
      <c r="N159" s="190"/>
      <c r="O159" s="190"/>
      <c r="P159" s="190"/>
      <c r="Q159" s="190"/>
      <c r="R159" s="190"/>
      <c r="S159" s="190"/>
    </row>
    <row r="160" spans="1:19" ht="15" customHeight="1">
      <c r="L160" s="190"/>
      <c r="M160" s="190"/>
      <c r="N160" s="190"/>
      <c r="O160" s="190"/>
      <c r="P160" s="190"/>
      <c r="Q160" s="190"/>
      <c r="R160" s="190"/>
      <c r="S160" s="190"/>
    </row>
    <row r="161" spans="1:19" ht="15" customHeight="1">
      <c r="L161" s="190"/>
      <c r="M161" s="190"/>
      <c r="N161" s="190"/>
      <c r="O161" s="190"/>
      <c r="P161" s="190"/>
      <c r="Q161" s="190"/>
      <c r="R161" s="190"/>
      <c r="S161" s="190"/>
    </row>
    <row r="162" spans="1:19" ht="15" customHeight="1">
      <c r="A162" s="50">
        <v>5</v>
      </c>
      <c r="B162" s="51" t="s">
        <v>226</v>
      </c>
      <c r="C162" s="52"/>
      <c r="J162" s="53"/>
      <c r="K162" s="53"/>
      <c r="L162" s="190"/>
      <c r="M162" s="190"/>
      <c r="N162" s="190"/>
      <c r="O162" s="190"/>
      <c r="P162" s="190"/>
      <c r="Q162" s="190"/>
      <c r="R162" s="190"/>
      <c r="S162" s="190"/>
    </row>
    <row r="163" spans="1:19" ht="15" customHeight="1">
      <c r="A163" s="50"/>
      <c r="B163" s="51" t="s">
        <v>475</v>
      </c>
      <c r="C163" s="52"/>
      <c r="E163" s="53" t="s">
        <v>476</v>
      </c>
      <c r="J163" s="57">
        <f>2*12*8</f>
        <v>192</v>
      </c>
      <c r="K163" s="58" t="s">
        <v>10</v>
      </c>
      <c r="L163" s="190"/>
      <c r="M163" s="190"/>
      <c r="N163" s="190"/>
      <c r="O163" s="190"/>
      <c r="P163" s="190"/>
      <c r="Q163" s="190"/>
      <c r="R163" s="190"/>
      <c r="S163" s="190"/>
    </row>
    <row r="164" spans="1:19" ht="15" customHeight="1">
      <c r="L164" s="191"/>
      <c r="M164" s="190"/>
      <c r="N164" s="190"/>
      <c r="O164" s="190"/>
      <c r="P164" s="190"/>
      <c r="Q164" s="190"/>
      <c r="R164" s="190"/>
      <c r="S164" s="190"/>
    </row>
    <row r="165" spans="1:19" ht="15" customHeight="1">
      <c r="A165" s="50">
        <v>6</v>
      </c>
      <c r="B165" s="51" t="s">
        <v>146</v>
      </c>
      <c r="C165" s="52"/>
      <c r="L165" s="190"/>
      <c r="M165" s="190"/>
      <c r="N165" s="190"/>
      <c r="O165" s="191"/>
      <c r="P165" s="190"/>
      <c r="Q165" s="190"/>
      <c r="R165" s="191"/>
      <c r="S165" s="191"/>
    </row>
    <row r="166" spans="1:19" ht="15" customHeight="1">
      <c r="A166" s="50"/>
      <c r="B166" s="51" t="s">
        <v>508</v>
      </c>
      <c r="C166" s="52"/>
      <c r="E166" s="53" t="s">
        <v>227</v>
      </c>
      <c r="J166" s="55">
        <f>1*18*7.5</f>
        <v>135</v>
      </c>
      <c r="K166" s="56" t="s">
        <v>10</v>
      </c>
      <c r="L166" s="190"/>
      <c r="M166" s="190"/>
      <c r="N166" s="190"/>
      <c r="O166" s="190"/>
      <c r="P166" s="190"/>
      <c r="Q166" s="190"/>
      <c r="R166" s="190"/>
      <c r="S166" s="190"/>
    </row>
    <row r="167" spans="1:19" ht="15" customHeight="1">
      <c r="A167" s="50"/>
      <c r="B167" s="51" t="s">
        <v>509</v>
      </c>
      <c r="C167" s="52"/>
      <c r="E167" s="53" t="s">
        <v>228</v>
      </c>
      <c r="J167" s="55">
        <f>2*(18+7.5)*0.5</f>
        <v>25.5</v>
      </c>
      <c r="K167" s="56" t="s">
        <v>10</v>
      </c>
      <c r="L167" s="190"/>
      <c r="M167" s="190"/>
      <c r="N167" s="190"/>
      <c r="O167" s="190"/>
      <c r="P167" s="190"/>
      <c r="Q167" s="190"/>
      <c r="R167" s="190"/>
      <c r="S167" s="190"/>
    </row>
    <row r="168" spans="1:19" ht="15" customHeight="1">
      <c r="A168" s="50"/>
      <c r="B168" s="51" t="s">
        <v>510</v>
      </c>
      <c r="C168" s="52"/>
      <c r="E168" s="53" t="s">
        <v>477</v>
      </c>
      <c r="J168" s="55">
        <f>4*12*7.5</f>
        <v>360</v>
      </c>
      <c r="K168" s="56" t="s">
        <v>10</v>
      </c>
      <c r="L168" s="191"/>
      <c r="M168" s="190"/>
      <c r="N168" s="190"/>
      <c r="O168" s="190"/>
      <c r="P168" s="190"/>
      <c r="Q168" s="190"/>
      <c r="R168" s="190"/>
      <c r="S168" s="190"/>
    </row>
    <row r="169" spans="1:19" ht="15" customHeight="1">
      <c r="A169" s="50"/>
      <c r="B169" s="59"/>
      <c r="C169" s="52"/>
      <c r="E169" s="53" t="s">
        <v>478</v>
      </c>
      <c r="J169" s="55">
        <f>4*2*(12+7.5)*0.5</f>
        <v>78</v>
      </c>
      <c r="K169" s="56" t="s">
        <v>10</v>
      </c>
      <c r="L169" s="190"/>
      <c r="M169" s="190"/>
      <c r="N169" s="190"/>
      <c r="O169" s="190"/>
      <c r="P169" s="190"/>
      <c r="Q169" s="190"/>
      <c r="R169" s="190"/>
      <c r="S169" s="190"/>
    </row>
    <row r="170" spans="1:19" ht="15" customHeight="1">
      <c r="A170" s="50"/>
      <c r="B170" s="59"/>
      <c r="C170" s="52"/>
      <c r="E170" s="53" t="s">
        <v>229</v>
      </c>
      <c r="J170" s="55">
        <f>2*(13+7.5)*0.5</f>
        <v>20.5</v>
      </c>
      <c r="K170" s="56" t="s">
        <v>10</v>
      </c>
      <c r="L170" s="190"/>
      <c r="M170" s="190"/>
      <c r="N170" s="190"/>
      <c r="O170" s="190"/>
      <c r="P170" s="190"/>
      <c r="Q170" s="190"/>
      <c r="R170" s="190"/>
      <c r="S170" s="190"/>
    </row>
    <row r="171" spans="1:19" ht="15" customHeight="1">
      <c r="A171" s="50"/>
      <c r="B171" s="59"/>
      <c r="C171" s="52"/>
      <c r="E171" s="53" t="s">
        <v>230</v>
      </c>
      <c r="J171" s="55">
        <f>1*13*7.5</f>
        <v>97.5</v>
      </c>
      <c r="K171" s="56" t="s">
        <v>10</v>
      </c>
      <c r="L171" s="190"/>
      <c r="M171" s="190"/>
      <c r="N171" s="190"/>
      <c r="O171" s="190"/>
      <c r="P171" s="190"/>
      <c r="Q171" s="190"/>
      <c r="R171" s="190"/>
      <c r="S171" s="190"/>
    </row>
    <row r="172" spans="1:19" ht="15" customHeight="1">
      <c r="A172" s="50"/>
      <c r="B172" s="51" t="s">
        <v>511</v>
      </c>
      <c r="C172" s="52"/>
      <c r="E172" s="53" t="s">
        <v>512</v>
      </c>
      <c r="J172" s="55">
        <f>6*2*(12+8)*3</f>
        <v>720</v>
      </c>
      <c r="K172" s="56" t="s">
        <v>10</v>
      </c>
      <c r="L172" s="190"/>
      <c r="M172" s="190"/>
      <c r="N172" s="190"/>
      <c r="O172" s="190"/>
      <c r="P172" s="190"/>
      <c r="Q172" s="190"/>
      <c r="R172" s="190"/>
      <c r="S172" s="190"/>
    </row>
    <row r="173" spans="1:19" ht="15" customHeight="1">
      <c r="A173" s="50"/>
      <c r="B173" s="59"/>
      <c r="C173" s="52"/>
      <c r="E173" s="53" t="s">
        <v>513</v>
      </c>
      <c r="J173" s="55">
        <f>6*12*8</f>
        <v>576</v>
      </c>
      <c r="K173" s="56" t="s">
        <v>10</v>
      </c>
      <c r="L173" s="190"/>
      <c r="M173" s="190"/>
      <c r="N173" s="190"/>
      <c r="O173" s="190"/>
      <c r="P173" s="190"/>
      <c r="Q173" s="190"/>
      <c r="R173" s="190"/>
      <c r="S173" s="190"/>
    </row>
    <row r="174" spans="1:19" ht="15" customHeight="1">
      <c r="A174" s="50"/>
      <c r="B174" s="59"/>
      <c r="C174" s="52"/>
      <c r="J174" s="57">
        <f>SUM(J166:J173)</f>
        <v>2012.5</v>
      </c>
      <c r="K174" s="58" t="s">
        <v>10</v>
      </c>
      <c r="L174" s="190"/>
      <c r="M174" s="190"/>
      <c r="N174" s="190"/>
      <c r="O174" s="190"/>
      <c r="P174" s="190"/>
      <c r="Q174" s="190"/>
      <c r="R174" s="190"/>
      <c r="S174" s="190"/>
    </row>
    <row r="175" spans="1:19" ht="15" customHeight="1">
      <c r="L175" s="190"/>
      <c r="M175" s="190"/>
      <c r="N175" s="190"/>
      <c r="O175" s="190"/>
      <c r="P175" s="190"/>
      <c r="Q175" s="190"/>
      <c r="R175" s="190"/>
      <c r="S175" s="190"/>
    </row>
    <row r="176" spans="1:19" ht="15" customHeight="1">
      <c r="A176" s="50">
        <v>7</v>
      </c>
      <c r="B176" s="51" t="s">
        <v>126</v>
      </c>
      <c r="C176" s="52"/>
      <c r="L176" s="190"/>
      <c r="M176" s="190"/>
      <c r="N176" s="190"/>
      <c r="O176" s="190"/>
      <c r="P176" s="190"/>
      <c r="Q176" s="190"/>
      <c r="R176" s="190"/>
      <c r="S176" s="190"/>
    </row>
    <row r="177" spans="1:19" ht="15" customHeight="1">
      <c r="A177" s="50"/>
      <c r="B177" s="51" t="s">
        <v>184</v>
      </c>
      <c r="C177" s="52"/>
      <c r="E177" s="53" t="s">
        <v>140</v>
      </c>
      <c r="J177" s="55">
        <f>1*6*7</f>
        <v>42</v>
      </c>
      <c r="K177" s="56" t="s">
        <v>10</v>
      </c>
      <c r="L177" s="190"/>
      <c r="M177" s="191"/>
      <c r="N177" s="190"/>
      <c r="O177" s="190"/>
      <c r="P177" s="191"/>
      <c r="Q177" s="191"/>
      <c r="R177" s="190"/>
      <c r="S177" s="190"/>
    </row>
    <row r="178" spans="1:19" ht="15" customHeight="1">
      <c r="A178" s="50"/>
      <c r="B178" s="51" t="s">
        <v>208</v>
      </c>
      <c r="C178" s="52"/>
      <c r="E178" s="53" t="s">
        <v>141</v>
      </c>
      <c r="J178" s="55">
        <f>1*20*20</f>
        <v>400</v>
      </c>
      <c r="K178" s="56" t="s">
        <v>10</v>
      </c>
      <c r="L178" s="190"/>
      <c r="M178" s="190"/>
      <c r="N178" s="190"/>
      <c r="O178" s="190"/>
      <c r="P178" s="190"/>
      <c r="Q178" s="190"/>
      <c r="R178" s="190"/>
      <c r="S178" s="190"/>
    </row>
    <row r="179" spans="1:19" ht="15" customHeight="1">
      <c r="A179" s="50"/>
      <c r="B179" s="51" t="s">
        <v>158</v>
      </c>
      <c r="C179" s="52"/>
      <c r="E179" s="53" t="s">
        <v>221</v>
      </c>
      <c r="J179" s="55">
        <f>1*12*7.5</f>
        <v>90</v>
      </c>
      <c r="K179" s="56" t="s">
        <v>10</v>
      </c>
      <c r="L179" s="190"/>
      <c r="M179" s="190"/>
      <c r="N179" s="190"/>
      <c r="O179" s="190"/>
      <c r="P179" s="190"/>
      <c r="Q179" s="190"/>
      <c r="R179" s="190"/>
      <c r="S179" s="190"/>
    </row>
    <row r="180" spans="1:19" ht="15" customHeight="1">
      <c r="A180" s="50"/>
      <c r="B180" s="51" t="s">
        <v>145</v>
      </c>
      <c r="C180" s="52"/>
      <c r="E180" s="53" t="s">
        <v>227</v>
      </c>
      <c r="J180" s="55">
        <f>1*18*7.5</f>
        <v>135</v>
      </c>
      <c r="K180" s="56" t="s">
        <v>10</v>
      </c>
      <c r="L180" s="190"/>
      <c r="M180" s="190"/>
      <c r="N180" s="190"/>
      <c r="O180" s="190"/>
      <c r="P180" s="190"/>
      <c r="Q180" s="190"/>
      <c r="R180" s="190"/>
      <c r="S180" s="190"/>
    </row>
    <row r="181" spans="1:19" ht="15" customHeight="1">
      <c r="A181" s="50"/>
      <c r="B181" s="51" t="s">
        <v>159</v>
      </c>
      <c r="C181" s="52"/>
      <c r="E181" s="53" t="s">
        <v>232</v>
      </c>
      <c r="J181" s="55">
        <f>1*14*7.33</f>
        <v>102.62</v>
      </c>
      <c r="K181" s="56" t="s">
        <v>10</v>
      </c>
      <c r="L181" s="190"/>
      <c r="M181" s="190"/>
      <c r="N181" s="190"/>
      <c r="O181" s="190"/>
      <c r="P181" s="190"/>
      <c r="Q181" s="190"/>
      <c r="R181" s="190"/>
      <c r="S181" s="190"/>
    </row>
    <row r="182" spans="1:19" ht="15" customHeight="1">
      <c r="A182" s="50"/>
      <c r="B182" s="51" t="s">
        <v>231</v>
      </c>
      <c r="C182" s="52"/>
      <c r="E182" s="53" t="s">
        <v>230</v>
      </c>
      <c r="J182" s="55">
        <f>1*13*7.5</f>
        <v>97.5</v>
      </c>
      <c r="K182" s="56" t="s">
        <v>10</v>
      </c>
      <c r="L182" s="190"/>
      <c r="M182" s="190"/>
      <c r="N182" s="190"/>
      <c r="O182" s="190"/>
      <c r="P182" s="190"/>
      <c r="Q182" s="190"/>
      <c r="R182" s="190"/>
      <c r="S182" s="190"/>
    </row>
    <row r="183" spans="1:19" ht="15" customHeight="1">
      <c r="A183" s="50"/>
      <c r="B183" s="51" t="s">
        <v>114</v>
      </c>
      <c r="C183" s="52"/>
      <c r="E183" s="53" t="s">
        <v>233</v>
      </c>
      <c r="J183" s="55">
        <f>1*7*6.82</f>
        <v>47.74</v>
      </c>
      <c r="K183" s="56" t="s">
        <v>10</v>
      </c>
      <c r="L183" s="190"/>
      <c r="M183" s="190"/>
      <c r="N183" s="190"/>
      <c r="O183" s="190"/>
      <c r="P183" s="190"/>
      <c r="Q183" s="190"/>
      <c r="R183" s="190"/>
      <c r="S183" s="190"/>
    </row>
    <row r="184" spans="1:19" ht="15" customHeight="1">
      <c r="A184" s="50"/>
      <c r="B184" s="59"/>
      <c r="C184" s="52"/>
      <c r="J184" s="57">
        <f>SUM(J177:J183)</f>
        <v>914.86</v>
      </c>
      <c r="K184" s="58" t="s">
        <v>10</v>
      </c>
      <c r="L184" s="190"/>
      <c r="M184" s="190"/>
      <c r="N184" s="190"/>
      <c r="O184" s="190"/>
      <c r="P184" s="190"/>
      <c r="Q184" s="190"/>
      <c r="R184" s="190"/>
      <c r="S184" s="190"/>
    </row>
    <row r="185" spans="1:19" ht="15" customHeight="1">
      <c r="A185" s="53"/>
      <c r="I185" s="53"/>
      <c r="J185" s="53"/>
      <c r="K185" s="53"/>
      <c r="L185" s="189"/>
    </row>
    <row r="186" spans="1:19" ht="15" customHeight="1">
      <c r="A186" s="53"/>
      <c r="I186" s="53"/>
      <c r="J186" s="53"/>
      <c r="K186" s="53"/>
      <c r="L186" s="189"/>
    </row>
    <row r="187" spans="1:19" ht="15" customHeight="1">
      <c r="A187" s="50">
        <v>8</v>
      </c>
      <c r="B187" s="51" t="s">
        <v>234</v>
      </c>
      <c r="C187" s="52"/>
      <c r="L187" s="189"/>
    </row>
    <row r="188" spans="1:19" ht="15" customHeight="1">
      <c r="A188" s="50"/>
      <c r="B188" s="51" t="s">
        <v>235</v>
      </c>
      <c r="C188" s="52"/>
      <c r="E188" s="53" t="s">
        <v>202</v>
      </c>
      <c r="J188" s="55">
        <f>2*(6.25+7)*6.75</f>
        <v>178.875</v>
      </c>
      <c r="K188" s="56" t="s">
        <v>10</v>
      </c>
      <c r="L188" s="189"/>
    </row>
    <row r="189" spans="1:19" ht="15" customHeight="1">
      <c r="A189" s="50"/>
      <c r="B189" s="51" t="s">
        <v>236</v>
      </c>
      <c r="C189" s="52"/>
      <c r="E189" s="53" t="s">
        <v>203</v>
      </c>
      <c r="J189" s="55">
        <f>1*6.25*7</f>
        <v>43.75</v>
      </c>
      <c r="K189" s="56" t="s">
        <v>10</v>
      </c>
      <c r="L189" s="189"/>
    </row>
    <row r="190" spans="1:19" ht="15" customHeight="1">
      <c r="A190" s="50"/>
      <c r="B190" s="51" t="s">
        <v>120</v>
      </c>
      <c r="C190" s="52"/>
      <c r="E190" s="53" t="s">
        <v>204</v>
      </c>
      <c r="J190" s="55">
        <f>2*(7+5.82)*7</f>
        <v>179.48000000000002</v>
      </c>
      <c r="K190" s="56" t="s">
        <v>10</v>
      </c>
      <c r="L190" s="189"/>
    </row>
    <row r="191" spans="1:19" ht="15" customHeight="1">
      <c r="A191" s="50"/>
      <c r="B191" s="51" t="s">
        <v>236</v>
      </c>
      <c r="C191" s="52"/>
      <c r="E191" s="53" t="s">
        <v>205</v>
      </c>
      <c r="J191" s="55">
        <f>1*7*5.82</f>
        <v>40.74</v>
      </c>
      <c r="K191" s="56" t="s">
        <v>10</v>
      </c>
      <c r="L191" s="189"/>
    </row>
    <row r="192" spans="1:19" ht="15" customHeight="1">
      <c r="A192" s="50"/>
      <c r="B192" s="51" t="s">
        <v>207</v>
      </c>
      <c r="C192" s="52"/>
      <c r="E192" s="53" t="s">
        <v>217</v>
      </c>
      <c r="J192" s="55">
        <f>1*6*2</f>
        <v>12</v>
      </c>
      <c r="K192" s="56" t="s">
        <v>10</v>
      </c>
      <c r="L192" s="189"/>
    </row>
    <row r="193" spans="1:12" ht="15" customHeight="1">
      <c r="A193" s="50"/>
      <c r="B193" s="51" t="s">
        <v>162</v>
      </c>
      <c r="C193" s="52"/>
      <c r="E193" s="53" t="s">
        <v>218</v>
      </c>
      <c r="J193" s="55">
        <f>1*7*2</f>
        <v>14</v>
      </c>
      <c r="K193" s="56" t="s">
        <v>10</v>
      </c>
      <c r="L193" s="189"/>
    </row>
    <row r="194" spans="1:12" ht="15" customHeight="1">
      <c r="A194" s="50"/>
      <c r="B194" s="59"/>
      <c r="C194" s="52"/>
      <c r="J194" s="57">
        <f>SUM(J188:J193)</f>
        <v>468.84500000000003</v>
      </c>
      <c r="K194" s="58" t="s">
        <v>10</v>
      </c>
      <c r="L194" s="189"/>
    </row>
    <row r="195" spans="1:12" ht="15" customHeight="1">
      <c r="A195" s="53"/>
      <c r="I195" s="53"/>
      <c r="J195" s="53"/>
      <c r="K195" s="53"/>
      <c r="L195" s="189"/>
    </row>
    <row r="196" spans="1:12" ht="15" customHeight="1">
      <c r="A196" s="50">
        <v>9</v>
      </c>
      <c r="B196" s="51" t="s">
        <v>237</v>
      </c>
      <c r="C196" s="52"/>
      <c r="L196" s="189"/>
    </row>
    <row r="197" spans="1:12" ht="15" customHeight="1">
      <c r="A197" s="53"/>
      <c r="E197" s="53" t="s">
        <v>479</v>
      </c>
      <c r="I197" s="53"/>
      <c r="J197" s="208">
        <f>J84</f>
        <v>10286.9125</v>
      </c>
      <c r="K197" s="187" t="s">
        <v>10</v>
      </c>
      <c r="L197" s="189"/>
    </row>
    <row r="198" spans="1:12" ht="15" customHeight="1">
      <c r="A198" s="53"/>
      <c r="I198" s="53"/>
      <c r="J198" s="53"/>
      <c r="K198" s="53"/>
      <c r="L198" s="189"/>
    </row>
    <row r="199" spans="1:12" ht="15" customHeight="1">
      <c r="A199" s="50">
        <v>10</v>
      </c>
      <c r="B199" s="51" t="s">
        <v>238</v>
      </c>
      <c r="C199" s="52"/>
      <c r="L199" s="189"/>
    </row>
    <row r="200" spans="1:12" ht="15" customHeight="1">
      <c r="A200" s="50"/>
      <c r="B200" s="59"/>
      <c r="C200" s="52"/>
      <c r="E200" s="53" t="s">
        <v>480</v>
      </c>
      <c r="J200" s="55">
        <f>J136</f>
        <v>164</v>
      </c>
      <c r="K200" s="56" t="s">
        <v>10</v>
      </c>
      <c r="L200" s="189"/>
    </row>
    <row r="201" spans="1:12" ht="15" customHeight="1">
      <c r="A201" s="50"/>
      <c r="B201" s="59"/>
      <c r="C201" s="52"/>
      <c r="E201" s="53" t="s">
        <v>481</v>
      </c>
      <c r="J201" s="55">
        <f>J159</f>
        <v>3344.125</v>
      </c>
      <c r="K201" s="56" t="s">
        <v>10</v>
      </c>
      <c r="L201" s="189"/>
    </row>
    <row r="202" spans="1:12" ht="15" customHeight="1">
      <c r="A202" s="50"/>
      <c r="B202" s="59"/>
      <c r="C202" s="52"/>
      <c r="J202" s="57">
        <f>SUM(J200:J201)</f>
        <v>3508.125</v>
      </c>
      <c r="K202" s="58" t="s">
        <v>10</v>
      </c>
      <c r="L202" s="189"/>
    </row>
    <row r="203" spans="1:12" ht="15" customHeight="1">
      <c r="A203" s="53"/>
      <c r="I203" s="53"/>
      <c r="J203" s="53"/>
      <c r="K203" s="53"/>
      <c r="L203" s="189"/>
    </row>
    <row r="204" spans="1:12" ht="15" customHeight="1">
      <c r="A204" s="50">
        <v>12</v>
      </c>
      <c r="B204" s="51" t="s">
        <v>239</v>
      </c>
      <c r="C204" s="52"/>
      <c r="L204" s="189"/>
    </row>
    <row r="205" spans="1:12" ht="15" customHeight="1">
      <c r="A205" s="50"/>
      <c r="B205" s="59"/>
      <c r="C205" s="52"/>
      <c r="E205" s="53" t="s">
        <v>139</v>
      </c>
      <c r="J205" s="159">
        <v>4</v>
      </c>
      <c r="K205" s="56" t="s">
        <v>3</v>
      </c>
      <c r="L205" s="189"/>
    </row>
    <row r="206" spans="1:12" ht="15" customHeight="1">
      <c r="A206" s="50">
        <v>13</v>
      </c>
      <c r="B206" s="51" t="s">
        <v>240</v>
      </c>
      <c r="C206" s="52"/>
      <c r="L206" s="189"/>
    </row>
    <row r="207" spans="1:12" ht="15" customHeight="1">
      <c r="A207" s="50"/>
      <c r="B207" s="51" t="s">
        <v>482</v>
      </c>
      <c r="C207" s="52"/>
      <c r="E207" s="53" t="s">
        <v>484</v>
      </c>
      <c r="J207" s="55">
        <f>2*(40+21)</f>
        <v>122</v>
      </c>
      <c r="K207" s="56" t="s">
        <v>24</v>
      </c>
      <c r="L207" s="189"/>
    </row>
    <row r="208" spans="1:12" ht="15" customHeight="1">
      <c r="A208" s="50"/>
      <c r="B208" s="51" t="s">
        <v>483</v>
      </c>
      <c r="C208" s="52"/>
      <c r="E208" s="53" t="s">
        <v>485</v>
      </c>
      <c r="J208" s="55">
        <v>210</v>
      </c>
      <c r="K208" s="56" t="s">
        <v>24</v>
      </c>
      <c r="L208" s="189"/>
    </row>
    <row r="209" spans="1:12" ht="15" customHeight="1">
      <c r="A209" s="50"/>
      <c r="B209" s="51"/>
      <c r="C209" s="52"/>
      <c r="J209" s="57">
        <f>SUM(J207:J208)</f>
        <v>332</v>
      </c>
      <c r="K209" s="58" t="s">
        <v>24</v>
      </c>
      <c r="L209" s="189"/>
    </row>
    <row r="210" spans="1:12" ht="15" customHeight="1">
      <c r="A210" s="50"/>
      <c r="B210" s="59"/>
      <c r="C210" s="52"/>
      <c r="J210" s="57"/>
      <c r="K210" s="58"/>
      <c r="L210" s="189"/>
    </row>
    <row r="211" spans="1:12" ht="15" customHeight="1">
      <c r="A211" s="50">
        <v>14</v>
      </c>
      <c r="B211" s="51" t="s">
        <v>241</v>
      </c>
      <c r="C211" s="52"/>
      <c r="J211" s="57"/>
      <c r="K211" s="58"/>
      <c r="L211" s="189"/>
    </row>
    <row r="212" spans="1:12" ht="15" customHeight="1">
      <c r="A212" s="50"/>
      <c r="B212" s="51" t="s">
        <v>486</v>
      </c>
      <c r="C212" s="52"/>
      <c r="E212" s="53" t="s">
        <v>487</v>
      </c>
      <c r="J212" s="57">
        <f>10+63+21+40+10</f>
        <v>144</v>
      </c>
      <c r="K212" s="58" t="s">
        <v>24</v>
      </c>
      <c r="L212" s="189"/>
    </row>
    <row r="213" spans="1:12" ht="15" customHeight="1">
      <c r="A213" s="50"/>
      <c r="B213" s="51"/>
      <c r="C213" s="52"/>
      <c r="L213" s="189"/>
    </row>
    <row r="214" spans="1:12" ht="15" customHeight="1">
      <c r="A214" s="50"/>
      <c r="B214" s="51"/>
      <c r="C214" s="52"/>
      <c r="L214" s="189"/>
    </row>
    <row r="215" spans="1:12" ht="15" customHeight="1">
      <c r="A215" s="50"/>
      <c r="B215" s="204" t="s">
        <v>127</v>
      </c>
      <c r="C215" s="110"/>
      <c r="D215" s="110"/>
      <c r="E215" s="110"/>
      <c r="F215" s="110"/>
      <c r="G215" s="110"/>
      <c r="H215" s="110"/>
      <c r="I215" s="121"/>
      <c r="J215" s="193"/>
      <c r="K215" s="194"/>
      <c r="L215" s="189"/>
    </row>
    <row r="216" spans="1:12" ht="15" customHeight="1">
      <c r="A216" s="50">
        <v>1</v>
      </c>
      <c r="B216" s="110" t="s">
        <v>129</v>
      </c>
      <c r="C216" s="110"/>
      <c r="D216" s="110"/>
      <c r="E216" s="110"/>
      <c r="F216" s="110"/>
      <c r="G216" s="110"/>
      <c r="H216" s="110"/>
      <c r="I216" s="121"/>
      <c r="J216" s="122"/>
      <c r="K216" s="123"/>
      <c r="L216" s="189"/>
    </row>
    <row r="217" spans="1:12" ht="15" customHeight="1">
      <c r="A217" s="50"/>
      <c r="B217" s="110"/>
      <c r="C217" s="110"/>
      <c r="D217" s="110"/>
      <c r="E217" s="110" t="s">
        <v>136</v>
      </c>
      <c r="F217" s="110"/>
      <c r="G217" s="110"/>
      <c r="H217" s="110"/>
      <c r="I217" s="121"/>
      <c r="J217" s="157">
        <v>1</v>
      </c>
      <c r="K217" s="120" t="s">
        <v>3</v>
      </c>
      <c r="L217" s="189"/>
    </row>
    <row r="218" spans="1:12" ht="15" customHeight="1">
      <c r="A218" s="50"/>
      <c r="B218" s="51"/>
      <c r="C218" s="52"/>
      <c r="L218" s="189"/>
    </row>
    <row r="219" spans="1:12" ht="15" customHeight="1">
      <c r="A219" s="50">
        <v>2</v>
      </c>
      <c r="B219" s="53" t="s">
        <v>147</v>
      </c>
      <c r="L219" s="189"/>
    </row>
    <row r="220" spans="1:12" ht="15" customHeight="1">
      <c r="A220" s="50"/>
      <c r="E220" s="110" t="s">
        <v>136</v>
      </c>
      <c r="F220" s="110"/>
      <c r="G220" s="110"/>
      <c r="H220" s="110"/>
      <c r="I220" s="121"/>
      <c r="J220" s="157">
        <v>1</v>
      </c>
      <c r="K220" s="120" t="s">
        <v>3</v>
      </c>
      <c r="L220" s="189"/>
    </row>
    <row r="221" spans="1:12" ht="15" customHeight="1">
      <c r="A221" s="50"/>
      <c r="B221" s="51"/>
      <c r="C221" s="52"/>
      <c r="L221" s="189"/>
    </row>
    <row r="222" spans="1:12" ht="15" customHeight="1">
      <c r="A222" s="50">
        <v>3</v>
      </c>
      <c r="B222" s="110" t="s">
        <v>128</v>
      </c>
      <c r="C222" s="110"/>
      <c r="D222" s="110"/>
      <c r="E222" s="110"/>
      <c r="F222" s="110"/>
      <c r="G222" s="110"/>
      <c r="H222" s="110"/>
      <c r="I222" s="121"/>
      <c r="J222" s="193"/>
      <c r="K222" s="194"/>
      <c r="L222" s="189"/>
    </row>
    <row r="223" spans="1:12" ht="15" customHeight="1">
      <c r="A223" s="50"/>
      <c r="B223" s="110"/>
      <c r="C223" s="110"/>
      <c r="D223" s="110"/>
      <c r="E223" s="110" t="s">
        <v>136</v>
      </c>
      <c r="F223" s="110"/>
      <c r="G223" s="110"/>
      <c r="H223" s="110"/>
      <c r="I223" s="121"/>
      <c r="J223" s="157">
        <v>1</v>
      </c>
      <c r="K223" s="120" t="s">
        <v>3</v>
      </c>
      <c r="L223" s="189"/>
    </row>
    <row r="224" spans="1:12" ht="15" customHeight="1">
      <c r="A224" s="50"/>
      <c r="B224" s="59"/>
      <c r="C224" s="52"/>
      <c r="L224" s="189"/>
    </row>
    <row r="225" spans="1:12" ht="15" customHeight="1">
      <c r="A225" s="50">
        <v>4</v>
      </c>
      <c r="B225" s="51" t="s">
        <v>242</v>
      </c>
      <c r="C225" s="52"/>
      <c r="E225" s="53" t="s">
        <v>135</v>
      </c>
      <c r="J225" s="159">
        <v>2</v>
      </c>
      <c r="K225" s="56" t="s">
        <v>17</v>
      </c>
      <c r="L225" s="189"/>
    </row>
    <row r="226" spans="1:12" ht="15" customHeight="1">
      <c r="A226" s="50"/>
      <c r="B226" s="51"/>
      <c r="C226" s="52"/>
      <c r="J226" s="159"/>
      <c r="L226" s="189"/>
    </row>
    <row r="227" spans="1:12" ht="15" customHeight="1">
      <c r="A227" s="50">
        <v>5</v>
      </c>
      <c r="B227" s="51" t="s">
        <v>243</v>
      </c>
      <c r="C227" s="52"/>
      <c r="J227" s="159"/>
      <c r="L227" s="189"/>
    </row>
    <row r="228" spans="1:12" ht="15" customHeight="1">
      <c r="A228" s="50"/>
      <c r="B228" s="51"/>
      <c r="C228" s="52"/>
      <c r="E228" s="53" t="s">
        <v>164</v>
      </c>
      <c r="J228" s="159">
        <v>6</v>
      </c>
      <c r="K228" s="56" t="s">
        <v>3</v>
      </c>
      <c r="L228" s="189"/>
    </row>
    <row r="229" spans="1:12" ht="15" customHeight="1">
      <c r="A229" s="50">
        <v>6</v>
      </c>
      <c r="B229" s="51" t="s">
        <v>244</v>
      </c>
      <c r="C229" s="52"/>
      <c r="J229" s="159"/>
      <c r="L229" s="189"/>
    </row>
    <row r="230" spans="1:12" ht="15" customHeight="1">
      <c r="A230" s="50"/>
      <c r="B230" s="51"/>
      <c r="C230" s="52"/>
      <c r="E230" s="53" t="s">
        <v>139</v>
      </c>
      <c r="J230" s="159">
        <v>4</v>
      </c>
      <c r="K230" s="56" t="s">
        <v>3</v>
      </c>
      <c r="L230" s="189"/>
    </row>
    <row r="231" spans="1:12" ht="15" customHeight="1">
      <c r="A231" s="50"/>
      <c r="B231" s="51"/>
      <c r="C231" s="52"/>
      <c r="J231" s="159"/>
      <c r="L231" s="189"/>
    </row>
    <row r="232" spans="1:12" ht="15" customHeight="1">
      <c r="A232" s="50">
        <v>7</v>
      </c>
      <c r="B232" s="51" t="s">
        <v>245</v>
      </c>
      <c r="C232" s="52"/>
      <c r="J232" s="159"/>
      <c r="L232" s="189"/>
    </row>
    <row r="233" spans="1:12" ht="15" customHeight="1">
      <c r="A233" s="50"/>
      <c r="B233" s="51"/>
      <c r="C233" s="52"/>
      <c r="E233" s="53" t="s">
        <v>135</v>
      </c>
      <c r="J233" s="159">
        <v>2</v>
      </c>
      <c r="K233" s="56" t="s">
        <v>3</v>
      </c>
      <c r="L233" s="189"/>
    </row>
    <row r="234" spans="1:12" ht="15" customHeight="1">
      <c r="A234" s="50"/>
      <c r="B234" s="51"/>
      <c r="C234" s="52"/>
      <c r="J234" s="159"/>
      <c r="L234" s="189"/>
    </row>
    <row r="235" spans="1:12" ht="15" customHeight="1">
      <c r="A235" s="50">
        <v>8</v>
      </c>
      <c r="B235" s="51" t="s">
        <v>246</v>
      </c>
      <c r="C235" s="52"/>
      <c r="J235" s="159"/>
      <c r="L235" s="189"/>
    </row>
    <row r="236" spans="1:12" ht="15" customHeight="1">
      <c r="A236" s="50"/>
      <c r="B236" s="51"/>
      <c r="C236" s="52"/>
      <c r="E236" s="53" t="s">
        <v>173</v>
      </c>
      <c r="J236" s="159">
        <v>3</v>
      </c>
      <c r="K236" s="56" t="s">
        <v>3</v>
      </c>
      <c r="L236" s="189"/>
    </row>
    <row r="237" spans="1:12" ht="15" customHeight="1">
      <c r="A237" s="50"/>
      <c r="B237" s="51"/>
      <c r="C237" s="52"/>
      <c r="L237" s="189"/>
    </row>
    <row r="238" spans="1:12" ht="15" customHeight="1">
      <c r="A238" s="50">
        <v>9</v>
      </c>
      <c r="B238" s="51" t="s">
        <v>247</v>
      </c>
      <c r="C238" s="52"/>
      <c r="L238" s="189"/>
    </row>
    <row r="239" spans="1:12" ht="15" customHeight="1">
      <c r="A239" s="50"/>
      <c r="B239" s="51"/>
      <c r="C239" s="52"/>
      <c r="E239" s="53" t="s">
        <v>139</v>
      </c>
      <c r="J239" s="159">
        <v>4</v>
      </c>
      <c r="K239" s="56" t="s">
        <v>3</v>
      </c>
      <c r="L239" s="189"/>
    </row>
    <row r="240" spans="1:12" ht="15" customHeight="1">
      <c r="A240" s="50"/>
      <c r="B240" s="51"/>
      <c r="C240" s="52"/>
      <c r="J240" s="159"/>
      <c r="L240" s="189"/>
    </row>
    <row r="241" spans="1:12" ht="15" customHeight="1">
      <c r="A241" s="50">
        <v>10</v>
      </c>
      <c r="B241" s="51" t="s">
        <v>248</v>
      </c>
      <c r="C241" s="52"/>
      <c r="J241" s="182"/>
      <c r="K241" s="58"/>
      <c r="L241" s="189"/>
    </row>
    <row r="242" spans="1:12" ht="15" customHeight="1">
      <c r="A242" s="50"/>
      <c r="B242" s="51"/>
      <c r="C242" s="52"/>
      <c r="E242" s="53" t="s">
        <v>488</v>
      </c>
      <c r="J242" s="159">
        <v>5</v>
      </c>
      <c r="K242" s="56" t="s">
        <v>3</v>
      </c>
      <c r="L242" s="189"/>
    </row>
    <row r="243" spans="1:12" ht="15" customHeight="1">
      <c r="A243" s="50"/>
      <c r="B243" s="51"/>
      <c r="C243" s="52"/>
      <c r="J243" s="159"/>
      <c r="L243" s="189"/>
    </row>
    <row r="244" spans="1:12" ht="15" customHeight="1">
      <c r="A244" s="50">
        <v>11</v>
      </c>
      <c r="B244" s="51" t="s">
        <v>249</v>
      </c>
      <c r="C244" s="52"/>
      <c r="J244" s="159"/>
      <c r="L244" s="189"/>
    </row>
    <row r="245" spans="1:12" ht="15" customHeight="1">
      <c r="A245" s="50"/>
      <c r="B245" s="51"/>
      <c r="C245" s="52"/>
      <c r="E245" s="53" t="s">
        <v>136</v>
      </c>
      <c r="J245" s="159">
        <v>1</v>
      </c>
      <c r="K245" s="56" t="s">
        <v>17</v>
      </c>
      <c r="L245" s="189"/>
    </row>
    <row r="246" spans="1:12" ht="15" customHeight="1">
      <c r="A246" s="50"/>
      <c r="B246" s="59" t="s">
        <v>124</v>
      </c>
      <c r="C246" s="52"/>
      <c r="L246" s="189"/>
    </row>
    <row r="247" spans="1:12" ht="15" customHeight="1">
      <c r="A247" s="50">
        <v>1</v>
      </c>
      <c r="B247" s="51" t="s">
        <v>250</v>
      </c>
      <c r="C247" s="52"/>
      <c r="L247" s="189"/>
    </row>
    <row r="248" spans="1:12" ht="15" customHeight="1">
      <c r="A248" s="50"/>
      <c r="B248" s="51" t="s">
        <v>130</v>
      </c>
      <c r="C248" s="52"/>
      <c r="E248" s="53" t="s">
        <v>489</v>
      </c>
      <c r="J248" s="55">
        <v>144</v>
      </c>
      <c r="K248" s="56" t="s">
        <v>251</v>
      </c>
      <c r="L248" s="189"/>
    </row>
    <row r="249" spans="1:12" ht="15" customHeight="1">
      <c r="A249" s="50"/>
      <c r="B249" s="59"/>
      <c r="C249" s="52"/>
      <c r="J249" s="57"/>
      <c r="K249" s="58"/>
      <c r="L249" s="189"/>
    </row>
    <row r="250" spans="1:12" ht="15" customHeight="1">
      <c r="A250" s="50"/>
      <c r="B250" s="51" t="s">
        <v>163</v>
      </c>
      <c r="C250" s="52"/>
      <c r="E250" s="53" t="s">
        <v>491</v>
      </c>
      <c r="J250" s="55">
        <v>80</v>
      </c>
      <c r="K250" s="56" t="s">
        <v>24</v>
      </c>
      <c r="L250" s="189"/>
    </row>
    <row r="251" spans="1:12" ht="15" customHeight="1">
      <c r="A251" s="50"/>
      <c r="B251" s="59"/>
      <c r="C251" s="52"/>
      <c r="L251" s="189"/>
    </row>
    <row r="252" spans="1:12" ht="15" customHeight="1">
      <c r="A252" s="50"/>
      <c r="B252" s="51" t="s">
        <v>252</v>
      </c>
      <c r="C252" s="52"/>
      <c r="E252" s="53" t="s">
        <v>490</v>
      </c>
      <c r="J252" s="55">
        <v>100</v>
      </c>
      <c r="K252" s="56" t="s">
        <v>24</v>
      </c>
      <c r="L252" s="189"/>
    </row>
    <row r="253" spans="1:12" ht="15" customHeight="1">
      <c r="A253" s="50"/>
      <c r="B253" s="51"/>
      <c r="C253" s="52"/>
      <c r="L253" s="189"/>
    </row>
    <row r="254" spans="1:12" ht="15" customHeight="1">
      <c r="A254" s="50"/>
      <c r="B254" s="51" t="s">
        <v>105</v>
      </c>
      <c r="C254" s="52"/>
      <c r="E254" s="53" t="s">
        <v>253</v>
      </c>
      <c r="J254" s="55">
        <v>70</v>
      </c>
      <c r="K254" s="56" t="s">
        <v>24</v>
      </c>
      <c r="L254" s="189"/>
    </row>
    <row r="255" spans="1:12" ht="15" customHeight="1">
      <c r="A255" s="50"/>
      <c r="B255" s="51"/>
      <c r="C255" s="52"/>
      <c r="L255" s="189"/>
    </row>
    <row r="256" spans="1:12" ht="15" customHeight="1">
      <c r="A256" s="114">
        <v>2</v>
      </c>
      <c r="B256" s="154" t="s">
        <v>131</v>
      </c>
      <c r="C256" s="154"/>
      <c r="D256" s="62"/>
      <c r="E256" s="155"/>
      <c r="F256" s="110"/>
      <c r="G256" s="117"/>
      <c r="H256" s="118"/>
      <c r="I256" s="119"/>
      <c r="J256" s="195"/>
      <c r="K256" s="155"/>
      <c r="L256" s="189"/>
    </row>
    <row r="257" spans="1:12" ht="15" customHeight="1">
      <c r="B257" s="53" t="s">
        <v>132</v>
      </c>
      <c r="E257" s="155" t="s">
        <v>139</v>
      </c>
      <c r="F257" s="110"/>
      <c r="G257" s="117"/>
      <c r="H257" s="118"/>
      <c r="I257" s="119"/>
      <c r="J257" s="84">
        <v>4</v>
      </c>
      <c r="K257" s="120" t="s">
        <v>3</v>
      </c>
      <c r="L257" s="189"/>
    </row>
    <row r="258" spans="1:12" ht="15" customHeight="1">
      <c r="A258" s="114"/>
      <c r="B258" s="115" t="s">
        <v>133</v>
      </c>
      <c r="C258" s="154"/>
      <c r="D258" s="62"/>
      <c r="E258" s="115" t="s">
        <v>173</v>
      </c>
      <c r="F258" s="116"/>
      <c r="G258" s="117"/>
      <c r="H258" s="118"/>
      <c r="I258" s="119"/>
      <c r="J258" s="156">
        <v>3</v>
      </c>
      <c r="K258" s="120" t="s">
        <v>3</v>
      </c>
      <c r="L258" s="189"/>
    </row>
    <row r="259" spans="1:12" ht="15" customHeight="1">
      <c r="A259" s="114"/>
      <c r="B259" s="115" t="s">
        <v>254</v>
      </c>
      <c r="C259" s="154"/>
      <c r="D259" s="62"/>
      <c r="E259" s="115" t="s">
        <v>139</v>
      </c>
      <c r="F259" s="116"/>
      <c r="G259" s="117"/>
      <c r="H259" s="118"/>
      <c r="I259" s="119"/>
      <c r="J259" s="156">
        <v>4</v>
      </c>
      <c r="K259" s="120" t="s">
        <v>3</v>
      </c>
      <c r="L259" s="189"/>
    </row>
    <row r="260" spans="1:12" ht="15" customHeight="1">
      <c r="A260" s="114"/>
      <c r="B260" s="154" t="s">
        <v>112</v>
      </c>
      <c r="C260" s="154"/>
      <c r="D260" s="62"/>
      <c r="E260" s="115" t="s">
        <v>135</v>
      </c>
      <c r="F260" s="116"/>
      <c r="G260" s="117"/>
      <c r="H260" s="118"/>
      <c r="I260" s="119"/>
      <c r="J260" s="156">
        <v>2</v>
      </c>
      <c r="K260" s="120" t="s">
        <v>3</v>
      </c>
      <c r="L260" s="189"/>
    </row>
    <row r="261" spans="1:12" ht="15" customHeight="1">
      <c r="L261" s="189"/>
    </row>
    <row r="262" spans="1:12" ht="15" customHeight="1">
      <c r="B262" s="77" t="s">
        <v>2</v>
      </c>
      <c r="D262" s="50"/>
      <c r="E262" s="49"/>
      <c r="F262" s="155"/>
      <c r="G262" s="50"/>
      <c r="H262" s="77"/>
      <c r="I262" s="50" t="s">
        <v>0</v>
      </c>
      <c r="J262" s="50"/>
      <c r="K262" s="155"/>
      <c r="L262" s="189"/>
    </row>
    <row r="263" spans="1:12" ht="15" customHeight="1">
      <c r="D263" s="50"/>
      <c r="G263" s="50"/>
      <c r="H263" s="77"/>
      <c r="I263" s="113" t="s">
        <v>73</v>
      </c>
      <c r="J263" s="50"/>
      <c r="K263" s="53"/>
      <c r="L263" s="189"/>
    </row>
    <row r="264" spans="1:12" ht="15" customHeight="1">
      <c r="C264" s="50"/>
      <c r="D264" s="50"/>
      <c r="E264" s="50"/>
      <c r="F264" s="50"/>
      <c r="G264" s="50"/>
      <c r="H264" s="77"/>
      <c r="I264" s="86" t="s">
        <v>1</v>
      </c>
      <c r="J264" s="50"/>
      <c r="K264" s="50"/>
      <c r="L264" s="189"/>
    </row>
    <row r="265" spans="1:12" ht="15" customHeight="1">
      <c r="E265" s="50"/>
      <c r="F265" s="50"/>
      <c r="I265" s="53"/>
      <c r="J265" s="53"/>
      <c r="K265" s="50"/>
      <c r="L265" s="189"/>
    </row>
    <row r="266" spans="1:12" ht="15" customHeight="1">
      <c r="E266" s="50"/>
      <c r="F266" s="50"/>
      <c r="I266" s="53"/>
      <c r="J266" s="53"/>
      <c r="K266" s="50"/>
      <c r="L266" s="189"/>
    </row>
    <row r="267" spans="1:12" ht="15" customHeight="1">
      <c r="L267" s="189"/>
    </row>
    <row r="268" spans="1:12" ht="15" customHeight="1">
      <c r="L268" s="189"/>
    </row>
    <row r="269" spans="1:12" ht="15" customHeight="1">
      <c r="L269" s="189"/>
    </row>
    <row r="270" spans="1:12" ht="15" customHeight="1">
      <c r="L270" s="189"/>
    </row>
    <row r="271" spans="1:12" ht="15" customHeight="1">
      <c r="L271" s="189"/>
    </row>
    <row r="272" spans="1:12" ht="15" customHeight="1">
      <c r="L272" s="189"/>
    </row>
    <row r="273" spans="12:12" ht="15" customHeight="1">
      <c r="L273" s="189"/>
    </row>
    <row r="274" spans="12:12" ht="15" customHeight="1">
      <c r="L274" s="189"/>
    </row>
    <row r="275" spans="12:12" ht="15" customHeight="1">
      <c r="L275" s="189"/>
    </row>
    <row r="276" spans="12:12" ht="15" customHeight="1">
      <c r="L276" s="189"/>
    </row>
    <row r="277" spans="12:12" ht="15" customHeight="1">
      <c r="L277" s="189"/>
    </row>
    <row r="278" spans="12:12" ht="15" customHeight="1">
      <c r="L278" s="189"/>
    </row>
    <row r="279" spans="12:12" ht="15" customHeight="1">
      <c r="L279" s="189"/>
    </row>
    <row r="280" spans="12:12" ht="15" customHeight="1">
      <c r="L280" s="189"/>
    </row>
    <row r="281" spans="12:12" ht="15" customHeight="1">
      <c r="L281" s="189"/>
    </row>
    <row r="282" spans="12:12" ht="15" customHeight="1">
      <c r="L282" s="189"/>
    </row>
    <row r="283" spans="12:12" ht="15" customHeight="1">
      <c r="L283" s="189"/>
    </row>
    <row r="284" spans="12:12" ht="15" customHeight="1">
      <c r="L284" s="189"/>
    </row>
    <row r="285" spans="12:12" ht="15" customHeight="1">
      <c r="L285" s="189"/>
    </row>
    <row r="286" spans="12:12" ht="15" customHeight="1">
      <c r="L286" s="189"/>
    </row>
    <row r="287" spans="12:12" ht="15" customHeight="1">
      <c r="L287" s="189"/>
    </row>
    <row r="288" spans="12:12" ht="15" customHeight="1">
      <c r="L288" s="189"/>
    </row>
    <row r="289" spans="12:12" ht="15" customHeight="1">
      <c r="L289" s="189"/>
    </row>
    <row r="290" spans="12:12" ht="15" customHeight="1">
      <c r="L290" s="189"/>
    </row>
    <row r="291" spans="12:12" ht="15" customHeight="1">
      <c r="L291" s="189"/>
    </row>
    <row r="292" spans="12:12" ht="15" customHeight="1">
      <c r="L292" s="189"/>
    </row>
    <row r="293" spans="12:12" ht="15" customHeight="1">
      <c r="L293" s="189"/>
    </row>
    <row r="294" spans="12:12" ht="15" customHeight="1">
      <c r="L294" s="192"/>
    </row>
    <row r="295" spans="12:12" ht="15" customHeight="1">
      <c r="L295" s="189"/>
    </row>
    <row r="296" spans="12:12" ht="15" customHeight="1">
      <c r="L296" s="189"/>
    </row>
    <row r="297" spans="12:12" ht="15" customHeight="1">
      <c r="L297" s="189"/>
    </row>
    <row r="298" spans="12:12" ht="15" customHeight="1">
      <c r="L298" s="189"/>
    </row>
    <row r="299" spans="12:12" ht="15" customHeight="1">
      <c r="L299" s="189"/>
    </row>
    <row r="300" spans="12:12" ht="15" customHeight="1">
      <c r="L300" s="189"/>
    </row>
    <row r="301" spans="12:12" ht="15" customHeight="1">
      <c r="L301" s="189"/>
    </row>
    <row r="302" spans="12:12" ht="15" customHeight="1">
      <c r="L302" s="189"/>
    </row>
    <row r="303" spans="12:12" ht="15" customHeight="1">
      <c r="L303" s="189"/>
    </row>
    <row r="304" spans="12:12" ht="15" customHeight="1">
      <c r="L304" s="189"/>
    </row>
    <row r="305" spans="12:12" ht="15" customHeight="1">
      <c r="L305" s="189"/>
    </row>
    <row r="306" spans="12:12" ht="15" customHeight="1">
      <c r="L306" s="189"/>
    </row>
    <row r="307" spans="12:12" ht="15" customHeight="1">
      <c r="L307" s="189"/>
    </row>
    <row r="308" spans="12:12" ht="15" customHeight="1">
      <c r="L308" s="189"/>
    </row>
    <row r="309" spans="12:12" ht="15" customHeight="1">
      <c r="L309" s="189"/>
    </row>
    <row r="310" spans="12:12" ht="15" customHeight="1">
      <c r="L310" s="189"/>
    </row>
    <row r="311" spans="12:12" ht="15" customHeight="1">
      <c r="L311" s="189"/>
    </row>
    <row r="312" spans="12:12" ht="15" customHeight="1">
      <c r="L312" s="189"/>
    </row>
    <row r="313" spans="12:12" ht="15" customHeight="1">
      <c r="L313" s="189"/>
    </row>
    <row r="314" spans="12:12" ht="15" customHeight="1">
      <c r="L314" s="189"/>
    </row>
    <row r="315" spans="12:12" ht="15" customHeight="1">
      <c r="L315" s="189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597"/>
  <sheetViews>
    <sheetView tabSelected="1" view="pageBreakPreview" workbookViewId="0">
      <selection activeCell="A279" sqref="A279"/>
    </sheetView>
  </sheetViews>
  <sheetFormatPr defaultRowHeight="15"/>
  <cols>
    <col min="1" max="1" width="5.7109375" style="7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7" t="s">
        <v>8</v>
      </c>
      <c r="B1" s="7"/>
      <c r="C1" s="250" t="s">
        <v>432</v>
      </c>
      <c r="D1" s="250"/>
      <c r="E1" s="250"/>
      <c r="F1" s="250"/>
      <c r="G1" s="250"/>
      <c r="H1" s="250"/>
      <c r="I1" s="250"/>
      <c r="J1" s="250"/>
      <c r="K1" s="250"/>
    </row>
    <row r="2" spans="1:11" ht="18" customHeight="1">
      <c r="C2" s="250"/>
      <c r="D2" s="250"/>
      <c r="E2" s="250"/>
      <c r="F2" s="250"/>
      <c r="G2" s="250"/>
      <c r="H2" s="250"/>
      <c r="I2" s="250"/>
      <c r="J2" s="250"/>
      <c r="K2" s="250"/>
    </row>
    <row r="3" spans="1:11" ht="18" customHeight="1">
      <c r="C3" s="218"/>
      <c r="D3" s="218"/>
      <c r="E3" s="218"/>
      <c r="F3" s="218"/>
      <c r="G3" s="218"/>
      <c r="H3" s="218"/>
      <c r="I3" s="218"/>
      <c r="J3" s="218"/>
      <c r="K3" s="218"/>
    </row>
    <row r="4" spans="1:11" ht="15" customHeight="1">
      <c r="C4" s="109"/>
      <c r="D4" s="124" t="s">
        <v>516</v>
      </c>
      <c r="E4" s="113"/>
      <c r="F4" s="113"/>
      <c r="G4" s="4"/>
      <c r="H4" s="19"/>
    </row>
    <row r="5" spans="1:11" ht="15" customHeight="1" thickBot="1">
      <c r="C5" s="7"/>
      <c r="D5" s="9"/>
      <c r="E5" s="3"/>
      <c r="F5" s="3"/>
      <c r="G5" s="4"/>
      <c r="H5" s="19"/>
    </row>
    <row r="6" spans="1:11" ht="15" customHeight="1" thickBot="1">
      <c r="A6" s="70" t="s">
        <v>7</v>
      </c>
      <c r="B6" s="71" t="s">
        <v>16</v>
      </c>
      <c r="C6" s="72"/>
      <c r="D6" s="73" t="s">
        <v>15</v>
      </c>
      <c r="E6" s="72"/>
      <c r="F6" s="72" t="s">
        <v>14</v>
      </c>
      <c r="G6" s="73"/>
      <c r="H6" s="74"/>
      <c r="I6" s="75" t="s">
        <v>12</v>
      </c>
      <c r="J6" s="72" t="s">
        <v>13</v>
      </c>
      <c r="K6" s="76"/>
    </row>
    <row r="7" spans="1:11" ht="15.75" customHeight="1">
      <c r="A7" s="50"/>
      <c r="B7" s="44" t="s">
        <v>430</v>
      </c>
      <c r="C7" s="52"/>
      <c r="D7" s="50"/>
      <c r="E7" s="50"/>
      <c r="F7" s="50"/>
      <c r="G7" s="50"/>
      <c r="H7" s="77"/>
      <c r="I7" s="50"/>
      <c r="J7" s="50"/>
      <c r="K7" s="50"/>
    </row>
    <row r="8" spans="1:11" ht="14.1" customHeight="1">
      <c r="A8" s="152">
        <v>1</v>
      </c>
      <c r="B8" s="134" t="s">
        <v>255</v>
      </c>
      <c r="C8" s="134"/>
      <c r="D8" s="130"/>
      <c r="E8" s="166"/>
      <c r="F8" s="140"/>
      <c r="G8" s="98"/>
      <c r="H8" s="162"/>
      <c r="I8" s="160"/>
      <c r="J8" s="167"/>
      <c r="K8" s="162"/>
    </row>
    <row r="9" spans="1:11" ht="14.1" customHeight="1">
      <c r="A9" s="152"/>
      <c r="B9" s="134" t="s">
        <v>256</v>
      </c>
      <c r="C9" s="134"/>
      <c r="D9" s="130"/>
      <c r="E9" s="166"/>
      <c r="F9" s="140"/>
      <c r="G9" s="98"/>
      <c r="H9" s="162"/>
      <c r="I9" s="160"/>
      <c r="J9" s="167"/>
      <c r="K9" s="162"/>
    </row>
    <row r="10" spans="1:11" ht="12.75" customHeight="1">
      <c r="A10" s="152"/>
      <c r="B10" s="134" t="s">
        <v>257</v>
      </c>
      <c r="C10" s="134"/>
      <c r="D10" s="130"/>
      <c r="E10" s="166"/>
      <c r="F10" s="140"/>
      <c r="G10" s="98"/>
      <c r="H10" s="162"/>
      <c r="I10" s="160"/>
      <c r="J10" s="167"/>
      <c r="K10" s="162"/>
    </row>
    <row r="11" spans="1:11" ht="12.75" customHeight="1">
      <c r="A11" s="152"/>
      <c r="B11" s="134" t="s">
        <v>258</v>
      </c>
      <c r="C11" s="134"/>
      <c r="D11" s="130"/>
      <c r="E11" s="166"/>
      <c r="F11" s="140"/>
      <c r="G11" s="98"/>
      <c r="H11" s="162"/>
      <c r="I11" s="160"/>
      <c r="J11" s="167"/>
      <c r="K11" s="162"/>
    </row>
    <row r="12" spans="1:11" ht="14.1" customHeight="1">
      <c r="A12" s="152"/>
      <c r="B12" s="134" t="s">
        <v>259</v>
      </c>
      <c r="C12" s="134"/>
      <c r="D12" s="130"/>
      <c r="E12" s="166"/>
      <c r="F12" s="140"/>
      <c r="G12" s="98"/>
      <c r="H12" s="162"/>
      <c r="I12" s="160"/>
      <c r="J12" s="167"/>
      <c r="K12" s="162"/>
    </row>
    <row r="13" spans="1:11" ht="14.1" customHeight="1">
      <c r="A13" s="152"/>
      <c r="B13" s="134" t="s">
        <v>260</v>
      </c>
      <c r="C13" s="134"/>
      <c r="D13" s="130"/>
      <c r="E13" s="166"/>
      <c r="F13" s="140"/>
      <c r="G13" s="98"/>
      <c r="H13" s="162"/>
      <c r="I13" s="160"/>
      <c r="J13" s="167"/>
      <c r="K13" s="162"/>
    </row>
    <row r="14" spans="1:11" ht="14.1" customHeight="1">
      <c r="A14" s="152"/>
      <c r="B14" s="134" t="s">
        <v>261</v>
      </c>
      <c r="C14" s="134"/>
      <c r="D14" s="130"/>
      <c r="E14" s="166"/>
      <c r="F14" s="140"/>
      <c r="G14" s="98"/>
      <c r="H14" s="162"/>
      <c r="I14" s="160"/>
      <c r="J14" s="167"/>
      <c r="K14" s="162"/>
    </row>
    <row r="15" spans="1:11" ht="15.75" customHeight="1">
      <c r="A15" s="152"/>
      <c r="B15" s="134" t="s">
        <v>262</v>
      </c>
      <c r="C15" s="134"/>
      <c r="D15" s="130"/>
      <c r="E15" s="166"/>
      <c r="F15" s="140"/>
      <c r="G15" s="98"/>
      <c r="H15" s="162"/>
      <c r="I15" s="160"/>
      <c r="J15" s="167"/>
      <c r="K15" s="162"/>
    </row>
    <row r="16" spans="1:11" ht="15" customHeight="1">
      <c r="A16" s="152"/>
      <c r="B16" s="134" t="s">
        <v>263</v>
      </c>
      <c r="C16" s="134"/>
      <c r="D16" s="130"/>
      <c r="E16" s="166"/>
      <c r="F16" s="140"/>
      <c r="G16" s="98"/>
      <c r="H16" s="162"/>
      <c r="I16" s="160"/>
      <c r="J16" s="167"/>
      <c r="K16" s="162"/>
    </row>
    <row r="17" spans="1:11" ht="15" customHeight="1">
      <c r="A17" s="152"/>
      <c r="B17" s="134" t="s">
        <v>264</v>
      </c>
      <c r="C17" s="134"/>
      <c r="D17" s="130"/>
      <c r="E17" s="166"/>
      <c r="F17" s="140"/>
      <c r="G17" s="98"/>
      <c r="H17" s="162"/>
      <c r="I17" s="160"/>
      <c r="J17" s="167"/>
      <c r="K17" s="162"/>
    </row>
    <row r="18" spans="1:11" ht="15" customHeight="1">
      <c r="A18" s="152"/>
      <c r="B18" s="134" t="s">
        <v>265</v>
      </c>
      <c r="C18" s="134"/>
      <c r="D18" s="130"/>
      <c r="E18" s="166"/>
      <c r="F18" s="140"/>
      <c r="G18" s="98"/>
      <c r="H18" s="162"/>
      <c r="I18" s="160"/>
      <c r="J18" s="167"/>
      <c r="K18" s="162"/>
    </row>
    <row r="19" spans="1:11" ht="15" customHeight="1">
      <c r="A19" s="152"/>
      <c r="B19" s="134" t="s">
        <v>266</v>
      </c>
      <c r="C19" s="134"/>
      <c r="D19" s="130"/>
      <c r="E19" s="166"/>
      <c r="F19" s="140"/>
      <c r="G19" s="98"/>
      <c r="H19" s="162"/>
      <c r="I19" s="160"/>
      <c r="J19" s="167"/>
      <c r="K19" s="162"/>
    </row>
    <row r="20" spans="1:11" ht="12" customHeight="1">
      <c r="A20" s="152"/>
      <c r="B20" s="134" t="s">
        <v>267</v>
      </c>
      <c r="C20" s="134"/>
      <c r="D20" s="209">
        <f>Mes!J14</f>
        <v>210.86</v>
      </c>
      <c r="E20" s="210" t="s">
        <v>174</v>
      </c>
      <c r="F20" s="211">
        <v>337</v>
      </c>
      <c r="G20" s="212" t="s">
        <v>9</v>
      </c>
      <c r="H20" s="213">
        <v>0</v>
      </c>
      <c r="I20" s="211" t="s">
        <v>268</v>
      </c>
      <c r="J20" s="214">
        <f>IF(MID(I20,1,2)=("P."),(ROUND(D20*((F20)+(H20/100)),)),IF(MID(I20,1,2)=("%o"),(ROUND(D20*(((F20)+(H20/100))/1000),)),IF(MID(I20,1,2)=("Ea"),(ROUND(D20*((F20)+(H20/100)),)),ROUND(D20*(((F20)+(H20/100))/100),))))</f>
        <v>71060</v>
      </c>
      <c r="K20" s="212" t="s">
        <v>11</v>
      </c>
    </row>
    <row r="21" spans="1:11" ht="14.1" customHeight="1">
      <c r="A21" s="152"/>
      <c r="B21" s="134"/>
      <c r="C21" s="134"/>
      <c r="D21" s="254" t="s">
        <v>546</v>
      </c>
      <c r="E21" s="254"/>
      <c r="F21" s="254"/>
      <c r="G21" s="254"/>
      <c r="H21" s="254"/>
      <c r="I21" s="254"/>
      <c r="J21" s="254"/>
      <c r="K21" s="254"/>
    </row>
    <row r="22" spans="1:11" ht="14.1" customHeight="1">
      <c r="A22" s="152">
        <v>2</v>
      </c>
      <c r="B22" s="98" t="s">
        <v>269</v>
      </c>
      <c r="C22" s="98"/>
      <c r="D22" s="130"/>
      <c r="E22" s="160"/>
      <c r="F22" s="160"/>
      <c r="G22" s="140"/>
      <c r="H22" s="98"/>
      <c r="I22" s="98"/>
      <c r="J22" s="164"/>
      <c r="K22" s="98"/>
    </row>
    <row r="23" spans="1:11" ht="13.5" customHeight="1">
      <c r="A23" s="152"/>
      <c r="B23" s="98" t="s">
        <v>270</v>
      </c>
      <c r="C23" s="98"/>
      <c r="D23" s="130"/>
      <c r="E23" s="160"/>
      <c r="F23" s="160"/>
      <c r="G23" s="140"/>
      <c r="H23" s="98"/>
      <c r="I23" s="98"/>
      <c r="J23" s="98"/>
      <c r="K23" s="98"/>
    </row>
    <row r="24" spans="1:11" ht="14.1" customHeight="1">
      <c r="A24" s="152"/>
      <c r="B24" s="98" t="s">
        <v>271</v>
      </c>
      <c r="C24" s="98"/>
      <c r="D24" s="130"/>
      <c r="E24" s="160"/>
      <c r="F24" s="160"/>
      <c r="G24" s="140"/>
      <c r="H24" s="98"/>
      <c r="I24" s="98"/>
      <c r="J24" s="98"/>
      <c r="K24" s="98"/>
    </row>
    <row r="25" spans="1:11" ht="14.1" customHeight="1">
      <c r="A25" s="152"/>
      <c r="B25" s="98" t="s">
        <v>272</v>
      </c>
      <c r="C25" s="98"/>
      <c r="D25" s="130"/>
      <c r="E25" s="160"/>
      <c r="F25" s="160"/>
      <c r="G25" s="140"/>
      <c r="H25" s="98"/>
      <c r="I25" s="98"/>
      <c r="J25" s="98"/>
      <c r="K25" s="98"/>
    </row>
    <row r="26" spans="1:11" ht="14.1" customHeight="1">
      <c r="A26" s="152"/>
      <c r="B26" s="98" t="s">
        <v>273</v>
      </c>
      <c r="C26" s="98"/>
      <c r="D26" s="130"/>
      <c r="E26" s="160"/>
      <c r="F26" s="160"/>
      <c r="G26" s="140"/>
      <c r="H26" s="98"/>
      <c r="I26" s="98"/>
      <c r="J26" s="98"/>
      <c r="K26" s="98"/>
    </row>
    <row r="27" spans="1:11" ht="14.1" customHeight="1">
      <c r="A27" s="152"/>
      <c r="B27" s="98" t="s">
        <v>274</v>
      </c>
      <c r="C27" s="98"/>
      <c r="D27" s="168">
        <f>Mes!J17</f>
        <v>11.296071428571429</v>
      </c>
      <c r="E27" s="162" t="s">
        <v>275</v>
      </c>
      <c r="F27" s="140">
        <v>5001</v>
      </c>
      <c r="G27" s="169" t="s">
        <v>9</v>
      </c>
      <c r="H27" s="162">
        <v>70</v>
      </c>
      <c r="I27" s="160" t="s">
        <v>276</v>
      </c>
      <c r="J27" s="164">
        <v>56519</v>
      </c>
      <c r="K27" s="165" t="s">
        <v>11</v>
      </c>
    </row>
    <row r="28" spans="1:11" ht="14.1" customHeight="1">
      <c r="A28" s="152"/>
      <c r="B28" s="98"/>
      <c r="C28" s="98"/>
      <c r="D28" s="254" t="s">
        <v>545</v>
      </c>
      <c r="E28" s="254"/>
      <c r="F28" s="254"/>
      <c r="G28" s="254"/>
      <c r="H28" s="254"/>
      <c r="I28" s="254"/>
      <c r="J28" s="254"/>
      <c r="K28" s="254"/>
    </row>
    <row r="29" spans="1:11" ht="12.75" customHeight="1">
      <c r="A29" s="60">
        <v>3</v>
      </c>
      <c r="B29" s="78" t="s">
        <v>277</v>
      </c>
      <c r="C29" s="79"/>
      <c r="D29" s="62"/>
      <c r="E29" s="49"/>
      <c r="F29" s="64"/>
      <c r="G29" s="65"/>
      <c r="H29" s="66"/>
      <c r="I29" s="67"/>
      <c r="J29" s="68"/>
      <c r="K29" s="80"/>
    </row>
    <row r="30" spans="1:11" ht="12.75" customHeight="1">
      <c r="A30" s="60"/>
      <c r="B30" s="78" t="s">
        <v>278</v>
      </c>
      <c r="C30" s="79"/>
      <c r="D30" s="62"/>
      <c r="E30" s="49"/>
      <c r="F30" s="64"/>
      <c r="G30" s="65"/>
      <c r="H30" s="66"/>
      <c r="I30" s="67"/>
      <c r="J30" s="68"/>
      <c r="K30" s="80"/>
    </row>
    <row r="31" spans="1:11" ht="10.5" customHeight="1">
      <c r="A31" s="60"/>
      <c r="B31" s="78" t="s">
        <v>279</v>
      </c>
      <c r="C31" s="79"/>
      <c r="D31" s="62"/>
      <c r="E31" s="49"/>
      <c r="F31" s="64"/>
      <c r="G31" s="65"/>
      <c r="H31" s="66"/>
      <c r="I31" s="67"/>
      <c r="J31" s="68"/>
      <c r="K31" s="80"/>
    </row>
    <row r="32" spans="1:11" ht="14.1" customHeight="1">
      <c r="A32" s="60"/>
      <c r="B32" s="78" t="s">
        <v>280</v>
      </c>
      <c r="C32" s="79"/>
      <c r="D32" s="62"/>
      <c r="E32" s="49"/>
      <c r="F32" s="64"/>
      <c r="G32" s="65"/>
      <c r="H32" s="66"/>
      <c r="I32" s="67"/>
      <c r="J32" s="68"/>
      <c r="K32" s="80"/>
    </row>
    <row r="33" spans="1:11" ht="14.1" customHeight="1">
      <c r="A33" s="60"/>
      <c r="B33" s="78" t="s">
        <v>281</v>
      </c>
      <c r="C33" s="79"/>
      <c r="D33" s="62">
        <f>Mes!J24</f>
        <v>67</v>
      </c>
      <c r="E33" s="49" t="s">
        <v>174</v>
      </c>
      <c r="F33" s="64">
        <v>14268</v>
      </c>
      <c r="G33" s="65" t="s">
        <v>9</v>
      </c>
      <c r="H33" s="66">
        <v>53</v>
      </c>
      <c r="I33" s="67" t="s">
        <v>282</v>
      </c>
      <c r="J33" s="68">
        <f>IF(MID(I33,1,2)=("P."),(ROUND(D33*((F33)+(H33/100)),)),IF(MID(I33,1,2)=("%o"),(ROUND(D33*(((F33)+(H33/100))/1000),)),IF(MID(I33,1,2)=("Ea"),(ROUND(D33*((F33)+(H33/100)),)),ROUND(D33*(((F33)+(H33/100))/100),))))</f>
        <v>9560</v>
      </c>
      <c r="K33" s="80" t="s">
        <v>11</v>
      </c>
    </row>
    <row r="34" spans="1:11" ht="15" customHeight="1">
      <c r="A34" s="60"/>
      <c r="B34" s="78"/>
      <c r="C34" s="79"/>
      <c r="D34" s="255" t="s">
        <v>547</v>
      </c>
      <c r="E34" s="255"/>
      <c r="F34" s="255"/>
      <c r="G34" s="255"/>
      <c r="H34" s="255"/>
      <c r="I34" s="255"/>
      <c r="J34" s="255"/>
      <c r="K34" s="255"/>
    </row>
    <row r="35" spans="1:11" ht="14.1" customHeight="1">
      <c r="A35" s="60">
        <v>4</v>
      </c>
      <c r="B35" s="78" t="s">
        <v>277</v>
      </c>
      <c r="C35" s="79"/>
      <c r="D35" s="62"/>
      <c r="E35" s="49"/>
      <c r="F35" s="64"/>
      <c r="G35" s="65"/>
      <c r="H35" s="66"/>
      <c r="I35" s="67"/>
      <c r="J35" s="68"/>
      <c r="K35" s="80"/>
    </row>
    <row r="36" spans="1:11" ht="14.1" customHeight="1">
      <c r="A36" s="60"/>
      <c r="B36" s="78" t="s">
        <v>283</v>
      </c>
      <c r="C36" s="79"/>
      <c r="D36" s="62"/>
      <c r="E36" s="49"/>
      <c r="F36" s="64"/>
      <c r="G36" s="65"/>
      <c r="H36" s="66"/>
      <c r="I36" s="67"/>
      <c r="J36" s="68"/>
      <c r="K36" s="80"/>
    </row>
    <row r="37" spans="1:11" ht="14.1" customHeight="1">
      <c r="A37" s="60"/>
      <c r="B37" s="78" t="s">
        <v>284</v>
      </c>
      <c r="C37" s="79"/>
      <c r="D37" s="62"/>
      <c r="E37" s="49"/>
      <c r="F37" s="64"/>
      <c r="G37" s="65"/>
      <c r="H37" s="66"/>
      <c r="I37" s="67"/>
      <c r="J37" s="68"/>
      <c r="K37" s="80"/>
    </row>
    <row r="38" spans="1:11" ht="14.1" customHeight="1">
      <c r="A38" s="60"/>
      <c r="B38" s="78" t="s">
        <v>285</v>
      </c>
      <c r="C38" s="79"/>
      <c r="D38" s="62"/>
      <c r="E38" s="49"/>
      <c r="F38" s="64"/>
      <c r="G38" s="65"/>
      <c r="H38" s="66"/>
      <c r="I38" s="67"/>
      <c r="J38" s="68"/>
      <c r="K38" s="80"/>
    </row>
    <row r="39" spans="1:11" ht="14.1" customHeight="1">
      <c r="A39" s="60"/>
      <c r="B39" s="78" t="s">
        <v>286</v>
      </c>
      <c r="C39" s="79"/>
      <c r="D39" s="62"/>
      <c r="E39" s="49"/>
      <c r="F39" s="64"/>
      <c r="G39" s="65"/>
      <c r="H39" s="66"/>
      <c r="I39" s="67"/>
      <c r="J39" s="68"/>
      <c r="K39" s="80"/>
    </row>
    <row r="40" spans="1:11" ht="14.1" customHeight="1">
      <c r="A40" s="60"/>
      <c r="B40" s="78" t="s">
        <v>104</v>
      </c>
      <c r="C40" s="79"/>
      <c r="D40" s="62">
        <f>Mes!J29</f>
        <v>175</v>
      </c>
      <c r="E40" s="49" t="s">
        <v>174</v>
      </c>
      <c r="F40" s="64">
        <v>14621</v>
      </c>
      <c r="G40" s="65" t="s">
        <v>9</v>
      </c>
      <c r="H40" s="66">
        <v>44</v>
      </c>
      <c r="I40" s="67" t="s">
        <v>282</v>
      </c>
      <c r="J40" s="68">
        <f>IF(MID(I40,1,2)=("P."),(ROUND(D40*((F40)+(H40/100)),)),IF(MID(I40,1,2)=("%o"),(ROUND(D40*(((F40)+(H40/100))/1000),)),IF(MID(I40,1,2)=("Ea"),(ROUND(D40*((F40)+(H40/100)),)),ROUND(D40*(((F40)+(H40/100))/100),))))</f>
        <v>25588</v>
      </c>
      <c r="K40" s="80" t="s">
        <v>11</v>
      </c>
    </row>
    <row r="41" spans="1:11" ht="14.1" customHeight="1">
      <c r="A41" s="60"/>
      <c r="B41" s="78"/>
      <c r="C41" s="79"/>
      <c r="D41" s="256" t="s">
        <v>548</v>
      </c>
      <c r="E41" s="256"/>
      <c r="F41" s="256"/>
      <c r="G41" s="256"/>
      <c r="H41" s="256"/>
      <c r="I41" s="256"/>
      <c r="J41" s="256"/>
      <c r="K41" s="256"/>
    </row>
    <row r="42" spans="1:11" ht="14.1" customHeight="1">
      <c r="A42" s="60">
        <v>5</v>
      </c>
      <c r="B42" s="78" t="s">
        <v>287</v>
      </c>
      <c r="C42" s="79"/>
      <c r="D42" s="62"/>
      <c r="E42" s="49"/>
      <c r="F42" s="64"/>
      <c r="G42" s="65"/>
      <c r="H42" s="66"/>
      <c r="I42" s="67"/>
      <c r="J42" s="68"/>
      <c r="K42" s="80"/>
    </row>
    <row r="43" spans="1:11" ht="14.1" customHeight="1">
      <c r="A43" s="60"/>
      <c r="B43" s="78" t="s">
        <v>288</v>
      </c>
      <c r="C43" s="79"/>
      <c r="D43" s="62"/>
      <c r="E43" s="49"/>
      <c r="F43" s="64"/>
      <c r="G43" s="65"/>
      <c r="H43" s="66"/>
      <c r="I43" s="67"/>
      <c r="J43" s="68"/>
      <c r="K43" s="80"/>
    </row>
    <row r="44" spans="1:11" ht="14.1" customHeight="1">
      <c r="A44" s="60"/>
      <c r="B44" s="78" t="s">
        <v>289</v>
      </c>
      <c r="C44" s="79"/>
      <c r="D44" s="62"/>
      <c r="E44" s="49"/>
      <c r="F44" s="64"/>
      <c r="G44" s="65"/>
      <c r="H44" s="66"/>
      <c r="I44" s="67"/>
      <c r="J44" s="68"/>
      <c r="K44" s="80"/>
    </row>
    <row r="45" spans="1:11" ht="14.1" customHeight="1">
      <c r="A45" s="60"/>
      <c r="B45" s="78" t="s">
        <v>290</v>
      </c>
      <c r="C45" s="79"/>
      <c r="D45" s="62">
        <f>Mes!J32</f>
        <v>192</v>
      </c>
      <c r="E45" s="49" t="s">
        <v>10</v>
      </c>
      <c r="F45" s="64">
        <v>726</v>
      </c>
      <c r="G45" s="65" t="s">
        <v>9</v>
      </c>
      <c r="H45" s="66">
        <v>72</v>
      </c>
      <c r="I45" s="67" t="s">
        <v>6</v>
      </c>
      <c r="J45" s="68">
        <f>IF(MID(I45,1,2)=("P."),(ROUND(D45*((F45)+(H45/100)),)),IF(MID(I45,1,2)=("%o"),(ROUND(D45*(((F45)+(H45/100))/1000),)),IF(MID(I45,1,2)=("Ea"),(ROUND(D45*((F45)+(H45/100)),)),ROUND(D45*(((F45)+(H45/100))/100),))))</f>
        <v>139530</v>
      </c>
      <c r="K45" s="80" t="s">
        <v>11</v>
      </c>
    </row>
    <row r="46" spans="1:11" ht="14.1" customHeight="1">
      <c r="A46" s="60"/>
      <c r="B46" s="78"/>
      <c r="C46" s="79"/>
      <c r="D46" s="257" t="s">
        <v>549</v>
      </c>
      <c r="E46" s="257"/>
      <c r="F46" s="257"/>
      <c r="G46" s="257"/>
      <c r="H46" s="257"/>
      <c r="I46" s="257"/>
      <c r="J46" s="257"/>
      <c r="K46" s="257"/>
    </row>
    <row r="47" spans="1:11" ht="14.1" customHeight="1">
      <c r="A47" s="152">
        <v>6</v>
      </c>
      <c r="B47" s="98" t="s">
        <v>291</v>
      </c>
      <c r="C47" s="98"/>
      <c r="D47" s="131"/>
      <c r="E47" s="98"/>
      <c r="F47" s="98"/>
      <c r="G47" s="98"/>
      <c r="H47" s="98"/>
      <c r="I47" s="98"/>
      <c r="J47" s="98"/>
      <c r="K47" s="98"/>
    </row>
    <row r="48" spans="1:11" ht="14.1" customHeight="1">
      <c r="A48" s="152"/>
      <c r="B48" s="98" t="s">
        <v>292</v>
      </c>
      <c r="C48" s="98"/>
      <c r="D48" s="131"/>
      <c r="E48" s="98"/>
      <c r="F48" s="98"/>
      <c r="G48" s="98"/>
      <c r="H48" s="98"/>
      <c r="I48" s="98"/>
      <c r="J48" s="98"/>
      <c r="K48" s="98"/>
    </row>
    <row r="49" spans="1:12" ht="14.1" customHeight="1">
      <c r="A49" s="152"/>
      <c r="B49" s="98" t="s">
        <v>293</v>
      </c>
      <c r="C49" s="98"/>
      <c r="D49" s="131"/>
      <c r="E49" s="98"/>
      <c r="F49" s="98"/>
      <c r="G49" s="98"/>
      <c r="H49" s="98"/>
      <c r="I49" s="98"/>
      <c r="J49" s="98"/>
      <c r="K49" s="98"/>
    </row>
    <row r="50" spans="1:12" ht="14.1" customHeight="1">
      <c r="A50" s="152"/>
      <c r="B50" s="98" t="s">
        <v>294</v>
      </c>
      <c r="C50" s="98"/>
      <c r="D50" s="161">
        <f>Mes!J37</f>
        <v>324</v>
      </c>
      <c r="E50" s="162" t="s">
        <v>10</v>
      </c>
      <c r="F50" s="140">
        <v>3275</v>
      </c>
      <c r="G50" s="163" t="s">
        <v>9</v>
      </c>
      <c r="H50" s="162">
        <v>50</v>
      </c>
      <c r="I50" s="160" t="s">
        <v>82</v>
      </c>
      <c r="J50" s="164">
        <f>IF(MID(I50,1,2)=("P."),(ROUND(D50*((F50)+(H50/100)),)),IF(MID(I50,1,2)=("%o"),(ROUND(D50*(((F50)+(H50/100))/1000),)),IF(MID(I50,1,2)=("Ea"),(ROUND(D50*((F50)+(H50/100)),)),ROUND(D50*(((F50)+(H50/100))/100),))))</f>
        <v>10613</v>
      </c>
      <c r="K50" s="165" t="s">
        <v>11</v>
      </c>
    </row>
    <row r="51" spans="1:12" ht="14.1" customHeight="1">
      <c r="A51" s="60"/>
      <c r="B51" s="78"/>
      <c r="C51" s="79"/>
      <c r="D51" s="257" t="s">
        <v>550</v>
      </c>
      <c r="E51" s="257"/>
      <c r="F51" s="257"/>
      <c r="G51" s="257"/>
      <c r="H51" s="257"/>
      <c r="I51" s="257"/>
      <c r="J51" s="257"/>
      <c r="K51" s="257"/>
    </row>
    <row r="52" spans="1:12" ht="14.1" customHeight="1">
      <c r="A52" s="60">
        <v>7</v>
      </c>
      <c r="B52" s="78" t="s">
        <v>295</v>
      </c>
      <c r="C52" s="78"/>
      <c r="D52" s="62"/>
      <c r="E52" s="49"/>
      <c r="F52" s="64"/>
      <c r="G52" s="65"/>
      <c r="H52" s="66"/>
      <c r="I52" s="67"/>
      <c r="J52" s="68"/>
      <c r="K52" s="80"/>
    </row>
    <row r="53" spans="1:12" ht="14.1" customHeight="1">
      <c r="A53" s="60"/>
      <c r="B53" s="78" t="s">
        <v>296</v>
      </c>
      <c r="C53" s="78"/>
      <c r="D53" s="62"/>
      <c r="E53" s="49"/>
      <c r="F53" s="64"/>
      <c r="G53" s="65"/>
      <c r="H53" s="66"/>
      <c r="I53" s="67"/>
      <c r="J53" s="68"/>
      <c r="K53" s="80"/>
    </row>
    <row r="54" spans="1:12" ht="14.1" customHeight="1">
      <c r="A54" s="60"/>
      <c r="B54" s="78" t="s">
        <v>297</v>
      </c>
      <c r="C54" s="78"/>
      <c r="D54" s="62"/>
      <c r="E54" s="49"/>
      <c r="F54" s="64"/>
      <c r="G54" s="65"/>
      <c r="H54" s="66"/>
      <c r="I54" s="67"/>
      <c r="J54" s="68"/>
      <c r="K54" s="80"/>
    </row>
    <row r="55" spans="1:12" ht="14.1" customHeight="1">
      <c r="A55" s="60"/>
      <c r="B55" s="78" t="s">
        <v>298</v>
      </c>
      <c r="C55" s="78"/>
      <c r="D55" s="62"/>
      <c r="E55" s="49"/>
      <c r="F55" s="64"/>
      <c r="G55" s="65"/>
      <c r="H55" s="66"/>
      <c r="I55" s="67"/>
      <c r="J55" s="68"/>
      <c r="K55" s="80"/>
    </row>
    <row r="56" spans="1:12" ht="14.1" customHeight="1">
      <c r="A56" s="60"/>
      <c r="B56" s="78" t="s">
        <v>299</v>
      </c>
      <c r="C56" s="78"/>
      <c r="D56" s="62"/>
      <c r="E56" s="49"/>
      <c r="F56" s="64"/>
      <c r="G56" s="65"/>
      <c r="H56" s="66"/>
      <c r="I56" s="67"/>
      <c r="J56" s="68"/>
      <c r="K56" s="80"/>
    </row>
    <row r="57" spans="1:12" ht="14.1" customHeight="1">
      <c r="A57" s="60"/>
      <c r="B57" s="78" t="s">
        <v>300</v>
      </c>
      <c r="C57" s="78"/>
      <c r="D57" s="62"/>
      <c r="E57" s="49"/>
      <c r="F57" s="64"/>
      <c r="G57" s="65"/>
      <c r="H57" s="66"/>
      <c r="I57" s="67"/>
      <c r="J57" s="68"/>
      <c r="K57" s="80"/>
    </row>
    <row r="58" spans="1:12" ht="14.1" customHeight="1">
      <c r="A58" s="60"/>
      <c r="B58" s="78" t="s">
        <v>301</v>
      </c>
      <c r="C58" s="78"/>
      <c r="D58" s="62"/>
      <c r="E58" s="49"/>
      <c r="F58" s="64"/>
      <c r="G58" s="65"/>
      <c r="H58" s="66"/>
      <c r="I58" s="67"/>
      <c r="J58" s="68"/>
      <c r="K58" s="80"/>
    </row>
    <row r="59" spans="1:12" ht="14.1" customHeight="1">
      <c r="A59" s="60"/>
      <c r="B59" s="78" t="s">
        <v>302</v>
      </c>
      <c r="C59" s="78"/>
      <c r="D59" s="62">
        <f>Mes!J43</f>
        <v>134</v>
      </c>
      <c r="E59" s="49" t="s">
        <v>24</v>
      </c>
      <c r="F59" s="64">
        <v>228</v>
      </c>
      <c r="G59" s="65" t="s">
        <v>9</v>
      </c>
      <c r="H59" s="66">
        <v>90</v>
      </c>
      <c r="I59" s="67" t="s">
        <v>106</v>
      </c>
      <c r="J59" s="68">
        <f>IF(MID(I59,1,2)=("P."),(ROUND(D59*((F59)+(H59/100)),)),IF(MID(I59,1,2)=("%o"),(ROUND(D59*(((F59)+(H59/100))/1000),)),IF(MID(I59,1,2)=("Ea"),(ROUND(D59*((F59)+(H59/100)),)),ROUND(D59*(((F59)+(H59/100))/100),))))</f>
        <v>30673</v>
      </c>
      <c r="K59" s="80" t="s">
        <v>11</v>
      </c>
    </row>
    <row r="60" spans="1:12" ht="13.5" customHeight="1">
      <c r="A60" s="60"/>
      <c r="B60" s="78"/>
      <c r="C60" s="79"/>
      <c r="D60" s="258" t="s">
        <v>551</v>
      </c>
      <c r="E60" s="258"/>
      <c r="F60" s="258"/>
      <c r="G60" s="258"/>
      <c r="H60" s="258"/>
      <c r="I60" s="258"/>
      <c r="J60" s="258"/>
      <c r="K60" s="258"/>
      <c r="L60" s="258"/>
    </row>
    <row r="61" spans="1:12" ht="14.1" customHeight="1">
      <c r="A61" s="170">
        <v>8</v>
      </c>
      <c r="B61" s="171" t="s">
        <v>303</v>
      </c>
      <c r="C61" s="170"/>
      <c r="D61" s="170"/>
      <c r="E61" s="170"/>
      <c r="F61" s="170"/>
      <c r="G61" s="170"/>
      <c r="H61" s="172"/>
      <c r="I61" s="170"/>
      <c r="J61" s="170"/>
      <c r="K61" s="170"/>
    </row>
    <row r="62" spans="1:12" ht="14.1" customHeight="1">
      <c r="A62" s="170"/>
      <c r="B62" s="171" t="s">
        <v>304</v>
      </c>
      <c r="C62" s="170"/>
      <c r="D62" s="170"/>
      <c r="E62" s="170"/>
      <c r="F62" s="170"/>
      <c r="G62" s="170"/>
      <c r="H62" s="172"/>
      <c r="I62" s="170"/>
      <c r="J62" s="170"/>
      <c r="K62" s="170"/>
    </row>
    <row r="63" spans="1:12" ht="11.25" customHeight="1">
      <c r="A63" s="170"/>
      <c r="B63" s="171" t="s">
        <v>305</v>
      </c>
      <c r="C63" s="170"/>
      <c r="D63" s="170"/>
      <c r="E63" s="170"/>
      <c r="F63" s="170"/>
      <c r="G63" s="170"/>
      <c r="H63" s="172"/>
      <c r="I63" s="170"/>
      <c r="J63" s="170"/>
      <c r="K63" s="170"/>
    </row>
    <row r="64" spans="1:12" ht="14.1" customHeight="1">
      <c r="A64" s="170"/>
      <c r="B64" s="171" t="s">
        <v>306</v>
      </c>
      <c r="C64" s="170"/>
      <c r="D64" s="170"/>
      <c r="E64" s="170"/>
      <c r="F64" s="170"/>
      <c r="G64" s="170"/>
      <c r="H64" s="172"/>
      <c r="I64" s="170"/>
      <c r="J64" s="170"/>
      <c r="K64" s="170"/>
    </row>
    <row r="65" spans="1:11" ht="14.1" customHeight="1">
      <c r="A65" s="170"/>
      <c r="B65" s="171" t="s">
        <v>307</v>
      </c>
      <c r="C65" s="170"/>
      <c r="D65" s="170"/>
      <c r="E65" s="170"/>
      <c r="F65" s="170"/>
      <c r="G65" s="170"/>
      <c r="H65" s="172"/>
      <c r="I65" s="170"/>
      <c r="J65" s="170"/>
      <c r="K65" s="170"/>
    </row>
    <row r="66" spans="1:11" ht="14.1" customHeight="1">
      <c r="A66" s="170"/>
      <c r="B66" s="171" t="s">
        <v>308</v>
      </c>
      <c r="C66" s="170"/>
      <c r="D66" s="170"/>
      <c r="E66" s="170"/>
      <c r="F66" s="170"/>
      <c r="G66" s="170"/>
      <c r="H66" s="172"/>
      <c r="I66" s="170"/>
      <c r="J66" s="170"/>
      <c r="K66" s="170"/>
    </row>
    <row r="67" spans="1:11" ht="14.1" customHeight="1">
      <c r="A67" s="170"/>
      <c r="B67" s="171" t="s">
        <v>309</v>
      </c>
      <c r="C67" s="170"/>
      <c r="D67" s="170"/>
      <c r="E67" s="170"/>
      <c r="F67" s="170"/>
      <c r="G67" s="170"/>
      <c r="H67" s="172"/>
      <c r="I67" s="170"/>
      <c r="J67" s="170"/>
      <c r="K67" s="170"/>
    </row>
    <row r="68" spans="1:11" ht="14.1" customHeight="1">
      <c r="A68" s="170"/>
      <c r="B68" s="171" t="s">
        <v>310</v>
      </c>
      <c r="C68" s="170"/>
      <c r="D68" s="170"/>
      <c r="E68" s="170"/>
      <c r="F68" s="170"/>
      <c r="G68" s="170"/>
      <c r="H68" s="172"/>
      <c r="I68" s="170"/>
      <c r="J68" s="170"/>
      <c r="K68" s="170"/>
    </row>
    <row r="69" spans="1:11" ht="14.1" customHeight="1">
      <c r="A69" s="170"/>
      <c r="B69" s="173" t="s">
        <v>311</v>
      </c>
      <c r="C69" s="170"/>
      <c r="D69" s="174">
        <f>Mes!J48</f>
        <v>253.75</v>
      </c>
      <c r="E69" s="175" t="s">
        <v>10</v>
      </c>
      <c r="F69" s="176">
        <v>706</v>
      </c>
      <c r="G69" s="177" t="s">
        <v>9</v>
      </c>
      <c r="H69" s="178">
        <v>23</v>
      </c>
      <c r="I69" s="179" t="s">
        <v>6</v>
      </c>
      <c r="J69" s="180">
        <f>IF(MID(I69,1,2)=("P."),(ROUND(D69*((F69)+(H69/100)),)),IF(MID(I69,1,2)=("%o"),(ROUND(D69*(((F69)+(H69/100))/1000),)),IF(MID(I69,1,2)=("Ea"),(ROUND(D69*((F69)+(H69/100)),)),ROUND(D69*(((F69)+(H69/100))/100),))))</f>
        <v>179206</v>
      </c>
      <c r="K69" s="181" t="s">
        <v>11</v>
      </c>
    </row>
    <row r="70" spans="1:11" ht="12.75" customHeight="1">
      <c r="A70" s="60"/>
      <c r="B70" s="78"/>
      <c r="C70" s="79"/>
      <c r="D70" s="258" t="s">
        <v>552</v>
      </c>
      <c r="E70" s="258"/>
      <c r="F70" s="258"/>
      <c r="G70" s="258"/>
      <c r="H70" s="258"/>
      <c r="I70" s="258"/>
      <c r="J70" s="258"/>
      <c r="K70" s="258"/>
    </row>
    <row r="71" spans="1:11" ht="14.1" customHeight="1">
      <c r="A71" s="60">
        <v>9</v>
      </c>
      <c r="B71" s="52" t="s">
        <v>312</v>
      </c>
      <c r="C71" s="78"/>
      <c r="D71" s="82"/>
      <c r="E71" s="83"/>
      <c r="F71" s="64"/>
      <c r="G71" s="67"/>
      <c r="H71" s="83"/>
      <c r="I71" s="67"/>
      <c r="J71" s="64"/>
      <c r="K71" s="83"/>
    </row>
    <row r="72" spans="1:11" ht="14.1" customHeight="1">
      <c r="A72" s="60"/>
      <c r="B72" s="52" t="s">
        <v>561</v>
      </c>
      <c r="C72" s="78"/>
      <c r="D72" s="174">
        <v>1804</v>
      </c>
      <c r="E72" s="175" t="s">
        <v>10</v>
      </c>
      <c r="F72" s="176">
        <v>3015</v>
      </c>
      <c r="G72" s="177" t="s">
        <v>9</v>
      </c>
      <c r="H72" s="178">
        <v>76</v>
      </c>
      <c r="I72" s="179" t="s">
        <v>82</v>
      </c>
      <c r="J72" s="180">
        <f>IF(MID(I72,1,2)=("P."),(ROUND(D72*((F72)+(H72/100)),)),IF(MID(I72,1,2)=("%o"),(ROUND(D72*(((F72)+(H72/100))/1000),)),IF(MID(I72,1,2)=("Ea"),(ROUND(D72*((F72)+(H72/100)),)),ROUND(D72*(((F72)+(H72/100))/100),))))</f>
        <v>54404</v>
      </c>
      <c r="K72" s="181" t="s">
        <v>11</v>
      </c>
    </row>
    <row r="73" spans="1:11" ht="14.1" customHeight="1">
      <c r="A73" s="60"/>
      <c r="B73" s="78"/>
      <c r="C73" s="79"/>
      <c r="D73" s="258" t="s">
        <v>553</v>
      </c>
      <c r="E73" s="258"/>
      <c r="F73" s="258"/>
      <c r="G73" s="258"/>
      <c r="H73" s="258"/>
      <c r="I73" s="258"/>
      <c r="J73" s="258"/>
      <c r="K73" s="258"/>
    </row>
    <row r="74" spans="1:11" ht="14.1" customHeight="1">
      <c r="A74" s="60">
        <v>10</v>
      </c>
      <c r="B74" s="81" t="s">
        <v>80</v>
      </c>
      <c r="C74" s="61"/>
      <c r="D74" s="62"/>
      <c r="E74" s="49"/>
      <c r="F74" s="64"/>
      <c r="G74" s="65"/>
      <c r="H74" s="66"/>
      <c r="I74" s="67"/>
      <c r="J74" s="68"/>
      <c r="K74" s="80"/>
    </row>
    <row r="75" spans="1:11" ht="14.1" customHeight="1">
      <c r="A75" s="60"/>
      <c r="B75" s="67" t="s">
        <v>81</v>
      </c>
      <c r="C75" s="61"/>
      <c r="D75" s="62">
        <f>Mes!J84</f>
        <v>10286.9125</v>
      </c>
      <c r="E75" s="49" t="s">
        <v>10</v>
      </c>
      <c r="F75" s="64">
        <v>226</v>
      </c>
      <c r="G75" s="65" t="s">
        <v>9</v>
      </c>
      <c r="H75" s="66">
        <v>88</v>
      </c>
      <c r="I75" s="67" t="s">
        <v>82</v>
      </c>
      <c r="J75" s="68">
        <f>IF(MID(I75,1,2)=("P."),(ROUND(D75*((F75)+(H75/100)),)),IF(MID(I75,1,2)=("%o"),(ROUND(D75*(((F75)+(H75/100))/1000),)),IF(MID(I75,1,2)=("Ea"),(ROUND(D75*((F75)+(H75/100)),)),ROUND(D75*(((F75)+(H75/100))/100),))))</f>
        <v>23339</v>
      </c>
      <c r="K75" s="80" t="s">
        <v>11</v>
      </c>
    </row>
    <row r="76" spans="1:11" ht="14.1" customHeight="1">
      <c r="D76" s="259" t="s">
        <v>554</v>
      </c>
      <c r="E76" s="259"/>
      <c r="F76" s="259"/>
      <c r="G76" s="259"/>
      <c r="H76" s="259"/>
      <c r="I76" s="259"/>
      <c r="J76" s="259"/>
      <c r="K76" s="259"/>
    </row>
    <row r="77" spans="1:11" ht="14.1" customHeight="1">
      <c r="A77" s="50">
        <v>11</v>
      </c>
      <c r="B77" s="52" t="s">
        <v>560</v>
      </c>
      <c r="C77" s="52"/>
      <c r="D77" s="62">
        <f>Mes!J99</f>
        <v>3317.0349999999999</v>
      </c>
      <c r="E77" s="49" t="s">
        <v>10</v>
      </c>
      <c r="F77" s="64">
        <v>1043</v>
      </c>
      <c r="G77" s="65" t="s">
        <v>9</v>
      </c>
      <c r="H77" s="66">
        <v>90</v>
      </c>
      <c r="I77" s="67" t="s">
        <v>82</v>
      </c>
      <c r="J77" s="68">
        <f>IF(MID(I77,1,2)=("P."),(ROUND(D77*((F77)+(H77/100)),)),IF(MID(I77,1,2)=("%o"),(ROUND(D77*(((F77)+(H77/100))/1000),)),IF(MID(I77,1,2)=("Ea"),(ROUND(D77*((F77)+(H77/100)),)),ROUND(D77*(((F77)+(H77/100))/100),))))</f>
        <v>34627</v>
      </c>
      <c r="K77" s="80" t="s">
        <v>11</v>
      </c>
    </row>
    <row r="78" spans="1:11" ht="12.75" customHeight="1">
      <c r="A78" s="50"/>
      <c r="B78" s="52"/>
      <c r="C78" s="52"/>
      <c r="D78" s="258" t="s">
        <v>555</v>
      </c>
      <c r="E78" s="258"/>
      <c r="F78" s="258"/>
      <c r="G78" s="258"/>
      <c r="H78" s="258"/>
      <c r="I78" s="258"/>
      <c r="J78" s="258"/>
      <c r="K78" s="258"/>
    </row>
    <row r="79" spans="1:11" ht="14.1" customHeight="1">
      <c r="A79" s="60">
        <v>12</v>
      </c>
      <c r="B79" s="78" t="s">
        <v>134</v>
      </c>
      <c r="C79" s="79"/>
      <c r="D79" s="62"/>
      <c r="E79" s="49"/>
      <c r="F79" s="64"/>
      <c r="G79" s="65"/>
      <c r="H79" s="66"/>
      <c r="I79" s="67"/>
      <c r="J79" s="68"/>
      <c r="K79" s="80"/>
    </row>
    <row r="80" spans="1:11" ht="14.1" customHeight="1">
      <c r="A80" s="60"/>
      <c r="B80" s="78" t="s">
        <v>317</v>
      </c>
      <c r="C80" s="79"/>
      <c r="D80" s="62">
        <f>Mes!J106</f>
        <v>540.22</v>
      </c>
      <c r="E80" s="49" t="s">
        <v>10</v>
      </c>
      <c r="F80" s="64">
        <v>786</v>
      </c>
      <c r="G80" s="65" t="s">
        <v>9</v>
      </c>
      <c r="H80" s="66">
        <v>50</v>
      </c>
      <c r="I80" s="67" t="s">
        <v>82</v>
      </c>
      <c r="J80" s="68">
        <f>IF(MID(I80,1,2)=("P."),(ROUND(D80*((F80)+(H80/100)),)),IF(MID(I80,1,2)=("%o"),(ROUND(D80*(((F80)+(H80/100))/1000),)),IF(MID(I80,1,2)=("Ea"),(ROUND(D80*((F80)+(H80/100)),)),ROUND(D80*(((F80)+(H80/100))/100),))))</f>
        <v>4249</v>
      </c>
      <c r="K80" s="80" t="s">
        <v>11</v>
      </c>
    </row>
    <row r="81" spans="1:11" ht="14.1" customHeight="1">
      <c r="A81" s="50"/>
      <c r="B81" s="52"/>
      <c r="C81" s="52"/>
      <c r="D81" s="258" t="s">
        <v>556</v>
      </c>
      <c r="E81" s="258"/>
      <c r="F81" s="258"/>
      <c r="G81" s="258"/>
      <c r="H81" s="258"/>
      <c r="I81" s="258"/>
      <c r="J81" s="258"/>
      <c r="K81" s="258"/>
    </row>
    <row r="82" spans="1:11" ht="14.1" customHeight="1">
      <c r="A82" s="60">
        <v>13</v>
      </c>
      <c r="B82" s="78" t="s">
        <v>83</v>
      </c>
      <c r="C82" s="78"/>
      <c r="D82" s="62"/>
      <c r="E82" s="49"/>
      <c r="F82" s="64"/>
      <c r="G82" s="65"/>
      <c r="H82" s="66"/>
      <c r="I82" s="67"/>
      <c r="J82" s="68"/>
      <c r="K82" s="80"/>
    </row>
    <row r="83" spans="1:11" ht="14.1" customHeight="1">
      <c r="A83" s="60"/>
      <c r="B83" s="78" t="s">
        <v>84</v>
      </c>
      <c r="C83" s="78"/>
      <c r="D83" s="62"/>
      <c r="E83" s="49"/>
      <c r="F83" s="64"/>
      <c r="G83" s="65"/>
      <c r="H83" s="66"/>
      <c r="I83" s="67"/>
      <c r="J83" s="68"/>
      <c r="K83" s="80"/>
    </row>
    <row r="84" spans="1:11" ht="14.1" customHeight="1">
      <c r="A84" s="60"/>
      <c r="B84" s="78" t="s">
        <v>85</v>
      </c>
      <c r="C84" s="78"/>
      <c r="D84" s="62">
        <f>Mes!J111</f>
        <v>507.5</v>
      </c>
      <c r="E84" s="49" t="s">
        <v>10</v>
      </c>
      <c r="F84" s="64">
        <v>1160</v>
      </c>
      <c r="G84" s="65" t="s">
        <v>9</v>
      </c>
      <c r="H84" s="66">
        <v>6</v>
      </c>
      <c r="I84" s="67" t="s">
        <v>82</v>
      </c>
      <c r="J84" s="68">
        <f>IF(MID(I84,1,2)=("P."),(ROUND(D84*((F84)+(H84/100)),)),IF(MID(I84,1,2)=("%o"),(ROUND(D84*(((F84)+(H84/100))/1000),)),IF(MID(I84,1,2)=("Ea"),(ROUND(D84*((F84)+(H84/100)),)),ROUND(D84*(((F84)+(H84/100))/100),))))</f>
        <v>5887</v>
      </c>
      <c r="K84" s="80" t="s">
        <v>11</v>
      </c>
    </row>
    <row r="85" spans="1:11" ht="14.1" customHeight="1">
      <c r="D85" s="260" t="s">
        <v>557</v>
      </c>
      <c r="E85" s="260"/>
      <c r="F85" s="260"/>
      <c r="G85" s="260"/>
      <c r="H85" s="260"/>
      <c r="I85" s="260"/>
      <c r="J85" s="260"/>
      <c r="K85" s="260"/>
    </row>
    <row r="86" spans="1:11" ht="14.25" customHeight="1">
      <c r="A86" s="60">
        <v>14</v>
      </c>
      <c r="B86" s="78" t="s">
        <v>122</v>
      </c>
      <c r="C86" s="78"/>
      <c r="D86" s="82"/>
      <c r="E86" s="83"/>
      <c r="F86" s="64"/>
      <c r="G86" s="67"/>
      <c r="H86" s="83"/>
      <c r="I86" s="67"/>
      <c r="J86" s="64"/>
      <c r="K86" s="83"/>
    </row>
    <row r="87" spans="1:11" ht="14.25" customHeight="1">
      <c r="A87" s="60"/>
      <c r="B87" s="78" t="s">
        <v>123</v>
      </c>
      <c r="C87" s="78"/>
      <c r="D87" s="62">
        <f>Mes!J114</f>
        <v>18</v>
      </c>
      <c r="E87" s="49" t="s">
        <v>17</v>
      </c>
      <c r="F87" s="64">
        <v>1786</v>
      </c>
      <c r="G87" s="65" t="s">
        <v>9</v>
      </c>
      <c r="H87" s="66">
        <v>13</v>
      </c>
      <c r="I87" s="67" t="s">
        <v>4</v>
      </c>
      <c r="J87" s="68">
        <f>IF(MID(I87,1,2)=("P."),(ROUND(D87*((F87)+(H87/100)),)),IF(MID(I87,1,2)=("%o"),(ROUND(D87*(((F87)+(H87/100))/1000),)),IF(MID(I87,1,2)=("Ea"),(ROUND(D87*((F87)+(H87/100)),)),ROUND(D87*(((F87)+(H87/100))/100),))))</f>
        <v>32150</v>
      </c>
      <c r="K87" s="80" t="s">
        <v>11</v>
      </c>
    </row>
    <row r="88" spans="1:11" ht="14.25" customHeight="1">
      <c r="A88" s="60"/>
      <c r="B88" s="78"/>
      <c r="C88" s="78"/>
      <c r="D88" s="258" t="s">
        <v>558</v>
      </c>
      <c r="E88" s="258"/>
      <c r="F88" s="258"/>
      <c r="G88" s="258"/>
      <c r="H88" s="258"/>
      <c r="I88" s="258"/>
      <c r="J88" s="258"/>
      <c r="K88" s="258"/>
    </row>
    <row r="89" spans="1:11" ht="14.25" customHeight="1">
      <c r="A89" s="50">
        <v>15</v>
      </c>
      <c r="B89" s="85" t="s">
        <v>318</v>
      </c>
      <c r="C89" s="50"/>
      <c r="D89" s="100"/>
      <c r="E89" s="101"/>
      <c r="F89" s="93"/>
      <c r="G89" s="94"/>
      <c r="H89" s="87"/>
      <c r="I89" s="95"/>
      <c r="J89" s="96"/>
      <c r="K89" s="97"/>
    </row>
    <row r="90" spans="1:11" ht="14.25" customHeight="1">
      <c r="A90" s="50"/>
      <c r="B90" s="85" t="s">
        <v>319</v>
      </c>
      <c r="C90" s="52"/>
      <c r="D90" s="50"/>
      <c r="E90" s="50"/>
      <c r="F90" s="50"/>
      <c r="G90" s="50"/>
      <c r="H90" s="77"/>
      <c r="I90" s="50"/>
      <c r="J90" s="50"/>
      <c r="K90" s="50"/>
    </row>
    <row r="91" spans="1:11" ht="14.25" customHeight="1">
      <c r="A91" s="50"/>
      <c r="B91" s="85" t="s">
        <v>320</v>
      </c>
      <c r="C91" s="52"/>
      <c r="D91" s="50"/>
      <c r="E91" s="50"/>
      <c r="F91" s="50"/>
      <c r="G91" s="50"/>
      <c r="H91" s="77"/>
      <c r="I91" s="50"/>
      <c r="J91" s="50"/>
      <c r="K91" s="50"/>
    </row>
    <row r="92" spans="1:11" ht="14.25" customHeight="1">
      <c r="A92" s="50"/>
      <c r="B92" s="85" t="s">
        <v>321</v>
      </c>
      <c r="C92" s="52"/>
      <c r="D92" s="50"/>
      <c r="E92" s="50"/>
      <c r="F92" s="50"/>
      <c r="G92" s="50"/>
      <c r="H92" s="77"/>
      <c r="I92" s="50"/>
      <c r="J92" s="50"/>
      <c r="K92" s="50"/>
    </row>
    <row r="93" spans="1:11" ht="14.25" customHeight="1">
      <c r="A93" s="50"/>
      <c r="B93" s="85" t="s">
        <v>322</v>
      </c>
      <c r="C93" s="52"/>
      <c r="D93" s="50"/>
      <c r="E93" s="50"/>
      <c r="F93" s="50"/>
      <c r="G93" s="50"/>
      <c r="H93" s="77"/>
      <c r="I93" s="50"/>
      <c r="J93" s="50"/>
      <c r="K93" s="50"/>
    </row>
    <row r="94" spans="1:11" ht="14.25" customHeight="1">
      <c r="A94" s="50"/>
      <c r="B94" s="85" t="s">
        <v>323</v>
      </c>
      <c r="C94" s="52"/>
      <c r="D94" s="62">
        <f>Mes!J121</f>
        <v>145</v>
      </c>
      <c r="E94" s="49" t="s">
        <v>10</v>
      </c>
      <c r="F94" s="64">
        <v>1507</v>
      </c>
      <c r="G94" s="65" t="s">
        <v>9</v>
      </c>
      <c r="H94" s="66">
        <v>66</v>
      </c>
      <c r="I94" s="67" t="s">
        <v>6</v>
      </c>
      <c r="J94" s="196">
        <f>IF(MID(I94,1,2)=("P."),(ROUND(D94*((F94)+(H94/100)),)),IF(MID(I94,1,2)=("%o"),(ROUND(D94*(((F94)+(H94/100))/1000),)),IF(MID(I94,1,2)=("Ea"),(ROUND(D94*((F94)+(H94/100)),)),ROUND(D94*(((F94)+(H94/100))/100),))))</f>
        <v>218611</v>
      </c>
      <c r="K94" s="80" t="s">
        <v>11</v>
      </c>
    </row>
    <row r="95" spans="1:11" ht="14.25" customHeight="1">
      <c r="A95" s="60"/>
      <c r="B95" s="78"/>
      <c r="C95" s="78"/>
      <c r="D95" s="258" t="s">
        <v>559</v>
      </c>
      <c r="E95" s="258"/>
      <c r="F95" s="258"/>
      <c r="G95" s="258"/>
      <c r="H95" s="258"/>
      <c r="I95" s="258"/>
      <c r="J95" s="258"/>
      <c r="K95" s="258"/>
    </row>
    <row r="96" spans="1:11" ht="14.25" customHeight="1">
      <c r="A96" s="60"/>
      <c r="B96" s="78"/>
      <c r="C96" s="78"/>
      <c r="D96" s="62"/>
      <c r="E96" s="49"/>
      <c r="F96" s="64"/>
      <c r="G96" s="65"/>
      <c r="H96" s="66" t="s">
        <v>324</v>
      </c>
      <c r="I96" s="67"/>
      <c r="J96" s="197">
        <f>SUM(J8:J95)</f>
        <v>896016</v>
      </c>
      <c r="K96" s="80" t="s">
        <v>11</v>
      </c>
    </row>
    <row r="97" spans="1:11" ht="14.1" customHeight="1">
      <c r="A97" s="60"/>
      <c r="B97" s="78"/>
      <c r="C97" s="78"/>
      <c r="D97" s="62"/>
      <c r="E97" s="49"/>
      <c r="F97" s="64" t="s">
        <v>562</v>
      </c>
      <c r="G97" s="65"/>
      <c r="H97" s="66"/>
      <c r="I97" s="67"/>
      <c r="J97" s="68"/>
      <c r="K97" s="80"/>
    </row>
    <row r="98" spans="1:11" ht="14.1" customHeight="1">
      <c r="A98" s="60"/>
      <c r="B98" s="78"/>
      <c r="C98" s="78"/>
      <c r="D98" s="62"/>
      <c r="E98" s="49"/>
      <c r="F98" s="64"/>
      <c r="G98" s="65"/>
      <c r="H98" s="66" t="s">
        <v>324</v>
      </c>
      <c r="I98" s="67"/>
      <c r="J98" s="68"/>
      <c r="K98" s="80"/>
    </row>
    <row r="99" spans="1:11" ht="14.1" customHeight="1">
      <c r="A99" s="60"/>
      <c r="B99" s="78"/>
      <c r="C99" s="78"/>
      <c r="D99" s="62"/>
      <c r="E99" s="49"/>
      <c r="F99" s="64"/>
      <c r="G99" s="65"/>
      <c r="H99" s="66"/>
      <c r="I99" s="67"/>
      <c r="J99" s="68"/>
      <c r="K99" s="80"/>
    </row>
    <row r="100" spans="1:11" ht="14.1" customHeight="1">
      <c r="A100" s="60"/>
      <c r="B100" s="198" t="s">
        <v>212</v>
      </c>
      <c r="C100" s="78"/>
      <c r="D100" s="78"/>
      <c r="E100" s="78"/>
      <c r="F100" s="78"/>
      <c r="G100" s="78"/>
      <c r="H100" s="78"/>
      <c r="I100" s="78"/>
      <c r="J100" s="78"/>
      <c r="K100" s="78"/>
    </row>
    <row r="101" spans="1:11" ht="12.75" customHeight="1">
      <c r="A101" s="50">
        <v>1</v>
      </c>
      <c r="B101" s="79" t="s">
        <v>326</v>
      </c>
      <c r="C101" s="79"/>
      <c r="D101" s="200"/>
      <c r="E101" s="92"/>
      <c r="F101" s="93"/>
      <c r="G101" s="94"/>
      <c r="H101" s="87"/>
      <c r="I101" s="95"/>
      <c r="J101" s="96"/>
      <c r="K101" s="97"/>
    </row>
    <row r="102" spans="1:11" ht="14.1" customHeight="1">
      <c r="A102" s="50"/>
      <c r="B102" s="79" t="s">
        <v>327</v>
      </c>
      <c r="C102" s="79"/>
      <c r="D102" s="78"/>
      <c r="E102" s="78"/>
      <c r="F102" s="78"/>
      <c r="G102" s="78"/>
      <c r="H102" s="78"/>
      <c r="I102" s="78"/>
      <c r="J102" s="78"/>
      <c r="K102" s="78"/>
    </row>
    <row r="103" spans="1:11" ht="14.1" customHeight="1">
      <c r="A103" s="50"/>
      <c r="B103" s="79" t="s">
        <v>328</v>
      </c>
      <c r="C103" s="79"/>
      <c r="D103" s="82"/>
      <c r="E103" s="83"/>
      <c r="F103" s="64"/>
      <c r="G103" s="67"/>
      <c r="H103" s="83"/>
      <c r="I103" s="67"/>
      <c r="J103" s="64"/>
      <c r="K103" s="83"/>
    </row>
    <row r="104" spans="1:11" ht="14.1" customHeight="1">
      <c r="A104" s="60"/>
      <c r="B104" s="79" t="s">
        <v>329</v>
      </c>
      <c r="C104" s="78"/>
      <c r="D104" s="200"/>
      <c r="E104" s="83"/>
      <c r="F104" s="64"/>
      <c r="G104" s="99"/>
      <c r="H104" s="66"/>
      <c r="I104" s="67"/>
      <c r="J104" s="68"/>
      <c r="K104" s="80"/>
    </row>
    <row r="105" spans="1:11" ht="14.1" customHeight="1">
      <c r="A105" s="60"/>
      <c r="B105" s="79" t="s">
        <v>330</v>
      </c>
      <c r="C105" s="78"/>
      <c r="D105" s="100">
        <f>Mes!J126</f>
        <v>15</v>
      </c>
      <c r="E105" s="92" t="s">
        <v>10</v>
      </c>
      <c r="F105" s="93"/>
      <c r="G105" s="94"/>
      <c r="H105" s="87"/>
      <c r="I105" s="95" t="s">
        <v>6</v>
      </c>
      <c r="J105" s="96"/>
      <c r="K105" s="97"/>
    </row>
    <row r="106" spans="1:11" ht="14.1" customHeight="1">
      <c r="A106" s="60"/>
      <c r="B106" s="79"/>
      <c r="C106" s="78"/>
      <c r="D106" s="100"/>
      <c r="E106" s="92"/>
      <c r="F106" s="93"/>
      <c r="G106" s="94"/>
      <c r="H106" s="87"/>
      <c r="I106" s="95"/>
      <c r="J106" s="96"/>
      <c r="K106" s="97"/>
    </row>
    <row r="107" spans="1:11" ht="14.1" customHeight="1">
      <c r="A107" s="50">
        <v>2</v>
      </c>
      <c r="B107" s="201" t="s">
        <v>331</v>
      </c>
      <c r="C107" s="78"/>
      <c r="D107" s="100"/>
      <c r="E107" s="101"/>
      <c r="F107" s="93"/>
      <c r="G107" s="94"/>
      <c r="H107" s="87"/>
      <c r="I107" s="95"/>
      <c r="J107" s="96"/>
      <c r="K107" s="97"/>
    </row>
    <row r="108" spans="1:11" ht="14.1" customHeight="1">
      <c r="A108" s="50"/>
      <c r="B108" s="78" t="s">
        <v>332</v>
      </c>
      <c r="C108" s="78"/>
      <c r="D108" s="100"/>
      <c r="E108" s="101"/>
      <c r="F108" s="93"/>
      <c r="G108" s="94"/>
      <c r="H108" s="87"/>
      <c r="I108" s="95"/>
      <c r="J108" s="96"/>
      <c r="K108" s="97"/>
    </row>
    <row r="109" spans="1:11" ht="14.1" customHeight="1">
      <c r="A109" s="50"/>
      <c r="B109" s="78" t="s">
        <v>333</v>
      </c>
      <c r="C109" s="78"/>
      <c r="D109" s="100"/>
      <c r="E109" s="101"/>
      <c r="F109" s="93"/>
      <c r="G109" s="94"/>
      <c r="H109" s="87"/>
      <c r="I109" s="95"/>
      <c r="J109" s="96"/>
      <c r="K109" s="97"/>
    </row>
    <row r="110" spans="1:11" ht="14.1" customHeight="1">
      <c r="A110" s="50"/>
      <c r="B110" s="78" t="s">
        <v>334</v>
      </c>
      <c r="C110" s="78"/>
      <c r="D110" s="82"/>
      <c r="E110" s="83"/>
      <c r="F110" s="64"/>
      <c r="G110" s="67"/>
      <c r="H110" s="83"/>
      <c r="I110" s="67"/>
      <c r="J110" s="64"/>
      <c r="K110" s="83"/>
    </row>
    <row r="111" spans="1:11" ht="11.25" customHeight="1">
      <c r="A111" s="78"/>
      <c r="B111" s="78" t="s">
        <v>335</v>
      </c>
      <c r="C111" s="78"/>
      <c r="D111" s="78"/>
      <c r="E111" s="78"/>
      <c r="F111" s="78"/>
      <c r="G111" s="78"/>
      <c r="H111" s="112"/>
      <c r="I111" s="199"/>
      <c r="J111" s="202"/>
      <c r="K111" s="203"/>
    </row>
    <row r="112" spans="1:11" ht="11.25" customHeight="1">
      <c r="A112" s="78"/>
      <c r="B112" s="78" t="s">
        <v>336</v>
      </c>
      <c r="C112" s="78"/>
      <c r="D112" s="100">
        <f>Mes!J130</f>
        <v>468</v>
      </c>
      <c r="E112" s="101" t="s">
        <v>10</v>
      </c>
      <c r="F112" s="93"/>
      <c r="G112" s="94"/>
      <c r="H112" s="87"/>
      <c r="I112" s="95" t="s">
        <v>6</v>
      </c>
      <c r="J112" s="96"/>
      <c r="K112" s="97"/>
    </row>
    <row r="113" spans="1:11" ht="12.75" customHeight="1">
      <c r="A113" s="60"/>
      <c r="B113" s="78"/>
      <c r="C113" s="78"/>
      <c r="D113" s="62"/>
      <c r="E113" s="49"/>
      <c r="F113" s="64"/>
      <c r="G113" s="65"/>
      <c r="H113" s="66"/>
      <c r="I113" s="67"/>
      <c r="J113" s="68"/>
      <c r="K113" s="80"/>
    </row>
    <row r="114" spans="1:11" ht="14.1" customHeight="1">
      <c r="A114" s="60">
        <v>3</v>
      </c>
      <c r="B114" s="52" t="s">
        <v>337</v>
      </c>
      <c r="C114" s="78"/>
      <c r="D114" s="91"/>
      <c r="E114" s="83"/>
      <c r="F114" s="64"/>
      <c r="G114" s="99"/>
      <c r="H114" s="66"/>
      <c r="I114" s="67"/>
      <c r="J114" s="68"/>
      <c r="K114" s="69"/>
    </row>
    <row r="115" spans="1:11" ht="14.1" customHeight="1">
      <c r="A115" s="78"/>
      <c r="B115" s="78" t="s">
        <v>338</v>
      </c>
      <c r="C115" s="78"/>
      <c r="D115" s="91"/>
      <c r="E115" s="83"/>
      <c r="F115" s="64"/>
      <c r="G115" s="99"/>
      <c r="H115" s="66"/>
      <c r="I115" s="67"/>
      <c r="J115" s="68"/>
      <c r="K115" s="69"/>
    </row>
    <row r="116" spans="1:11" ht="14.1" customHeight="1">
      <c r="A116" s="78"/>
      <c r="B116" s="78" t="s">
        <v>339</v>
      </c>
      <c r="C116" s="78"/>
      <c r="D116" s="91"/>
      <c r="E116" s="83"/>
      <c r="F116" s="64"/>
      <c r="G116" s="99"/>
      <c r="H116" s="66"/>
      <c r="I116" s="67"/>
      <c r="J116" s="68"/>
      <c r="K116" s="69"/>
    </row>
    <row r="117" spans="1:11" ht="14.1" customHeight="1">
      <c r="A117" s="78"/>
      <c r="B117" s="78" t="s">
        <v>340</v>
      </c>
      <c r="C117" s="78"/>
      <c r="D117" s="91"/>
      <c r="E117" s="83"/>
      <c r="F117" s="64"/>
      <c r="G117" s="99"/>
      <c r="H117" s="66"/>
      <c r="I117" s="67"/>
      <c r="J117" s="68"/>
      <c r="K117" s="69"/>
    </row>
    <row r="118" spans="1:11" ht="14.1" customHeight="1">
      <c r="A118" s="78"/>
      <c r="B118" s="78" t="s">
        <v>341</v>
      </c>
      <c r="C118" s="78"/>
      <c r="D118" s="91"/>
      <c r="E118" s="83"/>
      <c r="F118" s="64"/>
      <c r="G118" s="99"/>
      <c r="H118" s="66"/>
      <c r="I118" s="67"/>
      <c r="J118" s="68"/>
      <c r="K118" s="69"/>
    </row>
    <row r="119" spans="1:11" ht="14.1" customHeight="1">
      <c r="A119" s="78"/>
      <c r="B119" s="78" t="s">
        <v>342</v>
      </c>
      <c r="C119" s="78"/>
      <c r="D119" s="91"/>
      <c r="E119" s="83"/>
      <c r="F119" s="64"/>
      <c r="G119" s="99"/>
      <c r="H119" s="66"/>
      <c r="I119" s="67"/>
      <c r="J119" s="68"/>
      <c r="K119" s="69"/>
    </row>
    <row r="120" spans="1:11" ht="14.1" customHeight="1">
      <c r="A120" s="78"/>
      <c r="B120" s="78" t="s">
        <v>343</v>
      </c>
      <c r="C120" s="78"/>
      <c r="D120" s="200"/>
      <c r="E120" s="83"/>
      <c r="F120" s="64"/>
      <c r="G120" s="99"/>
      <c r="H120" s="66"/>
      <c r="I120" s="67"/>
      <c r="J120" s="68"/>
      <c r="K120" s="80"/>
    </row>
    <row r="121" spans="1:11" ht="14.1" customHeight="1">
      <c r="A121" s="60"/>
      <c r="B121" s="78" t="s">
        <v>344</v>
      </c>
      <c r="C121" s="78"/>
      <c r="D121" s="91"/>
      <c r="E121" s="83"/>
      <c r="F121" s="64"/>
      <c r="G121" s="99"/>
      <c r="H121" s="66"/>
      <c r="I121" s="67"/>
      <c r="J121" s="68"/>
      <c r="K121" s="97"/>
    </row>
    <row r="122" spans="1:11" ht="14.1" customHeight="1">
      <c r="A122" s="60"/>
      <c r="B122" s="78" t="s">
        <v>345</v>
      </c>
      <c r="C122" s="78"/>
      <c r="D122" s="91"/>
      <c r="E122" s="83"/>
      <c r="F122" s="64"/>
      <c r="G122" s="99"/>
      <c r="H122" s="66"/>
      <c r="I122" s="67"/>
      <c r="J122" s="68"/>
      <c r="K122" s="97"/>
    </row>
    <row r="123" spans="1:11" ht="14.1" customHeight="1">
      <c r="A123" s="60"/>
      <c r="B123" s="78" t="s">
        <v>431</v>
      </c>
      <c r="C123" s="78"/>
      <c r="D123" s="100">
        <f>Mes!J136</f>
        <v>164</v>
      </c>
      <c r="E123" s="92" t="s">
        <v>10</v>
      </c>
      <c r="F123" s="93"/>
      <c r="G123" s="94"/>
      <c r="H123" s="87"/>
      <c r="I123" s="95" t="s">
        <v>6</v>
      </c>
      <c r="J123" s="96"/>
      <c r="K123" s="97"/>
    </row>
    <row r="124" spans="1:11" ht="14.1" customHeight="1"/>
    <row r="125" spans="1:11" ht="14.1" customHeight="1">
      <c r="A125" s="60">
        <v>4</v>
      </c>
      <c r="B125" s="52" t="s">
        <v>352</v>
      </c>
      <c r="C125" s="78"/>
      <c r="D125" s="200"/>
      <c r="E125" s="83"/>
      <c r="F125" s="64"/>
      <c r="G125" s="99"/>
      <c r="H125" s="66"/>
      <c r="I125" s="67"/>
      <c r="J125" s="68"/>
      <c r="K125" s="80"/>
    </row>
    <row r="126" spans="1:11" ht="14.1" customHeight="1">
      <c r="A126" s="60"/>
      <c r="B126" s="52" t="s">
        <v>347</v>
      </c>
      <c r="C126" s="78"/>
      <c r="D126" s="200"/>
      <c r="E126" s="83"/>
      <c r="F126" s="64"/>
      <c r="G126" s="99"/>
      <c r="H126" s="66"/>
      <c r="I126" s="67"/>
      <c r="J126" s="68"/>
      <c r="K126" s="80"/>
    </row>
    <row r="127" spans="1:11" ht="14.1" customHeight="1">
      <c r="A127" s="60"/>
      <c r="B127" s="52" t="s">
        <v>348</v>
      </c>
      <c r="C127" s="78"/>
      <c r="D127" s="200"/>
      <c r="E127" s="83"/>
      <c r="F127" s="64"/>
      <c r="G127" s="99"/>
      <c r="H127" s="66"/>
      <c r="I127" s="67"/>
      <c r="J127" s="68"/>
      <c r="K127" s="80"/>
    </row>
    <row r="128" spans="1:11" ht="14.1" customHeight="1">
      <c r="A128" s="60"/>
      <c r="B128" s="52" t="s">
        <v>349</v>
      </c>
      <c r="C128" s="78"/>
      <c r="D128" s="200"/>
      <c r="E128" s="83"/>
      <c r="F128" s="64"/>
      <c r="G128" s="99"/>
      <c r="H128" s="66"/>
      <c r="I128" s="67"/>
      <c r="J128" s="68"/>
      <c r="K128" s="80"/>
    </row>
    <row r="129" spans="1:11" ht="14.1" customHeight="1">
      <c r="A129" s="60"/>
      <c r="B129" s="52" t="s">
        <v>350</v>
      </c>
      <c r="C129" s="78"/>
      <c r="D129" s="200"/>
      <c r="E129" s="83"/>
      <c r="F129" s="64"/>
      <c r="G129" s="99"/>
      <c r="H129" s="66"/>
      <c r="I129" s="67"/>
      <c r="J129" s="68"/>
      <c r="K129" s="80"/>
    </row>
    <row r="130" spans="1:11" ht="14.1" customHeight="1">
      <c r="A130" s="60"/>
      <c r="B130" s="52" t="s">
        <v>351</v>
      </c>
      <c r="C130" s="78"/>
      <c r="D130" s="100">
        <f>Mes!J159</f>
        <v>3344.125</v>
      </c>
      <c r="E130" s="101" t="s">
        <v>10</v>
      </c>
      <c r="F130" s="93"/>
      <c r="G130" s="94"/>
      <c r="H130" s="87"/>
      <c r="I130" s="95" t="s">
        <v>6</v>
      </c>
      <c r="J130" s="96"/>
      <c r="K130" s="97"/>
    </row>
    <row r="131" spans="1:11" ht="14.1" customHeight="1">
      <c r="A131" s="60"/>
      <c r="B131" s="52"/>
      <c r="C131" s="78"/>
      <c r="D131" s="100"/>
      <c r="E131" s="101"/>
      <c r="F131" s="93"/>
      <c r="G131" s="94"/>
      <c r="H131" s="87"/>
      <c r="I131" s="95"/>
      <c r="J131" s="96"/>
      <c r="K131" s="97"/>
    </row>
    <row r="132" spans="1:11" ht="14.1" customHeight="1">
      <c r="A132" s="60">
        <v>5</v>
      </c>
      <c r="B132" s="52" t="s">
        <v>353</v>
      </c>
      <c r="C132" s="78"/>
      <c r="D132" s="91"/>
      <c r="E132" s="83"/>
      <c r="F132" s="64"/>
      <c r="G132" s="99"/>
      <c r="H132" s="66"/>
      <c r="I132" s="67"/>
      <c r="J132" s="68"/>
      <c r="K132" s="69"/>
    </row>
    <row r="133" spans="1:11" ht="14.1" customHeight="1">
      <c r="A133" s="78"/>
      <c r="B133" s="78" t="s">
        <v>354</v>
      </c>
      <c r="C133" s="78"/>
      <c r="D133" s="91"/>
      <c r="E133" s="83"/>
      <c r="F133" s="64"/>
      <c r="G133" s="99"/>
      <c r="H133" s="66"/>
      <c r="I133" s="67"/>
      <c r="J133" s="68"/>
      <c r="K133" s="69"/>
    </row>
    <row r="134" spans="1:11" ht="14.1" customHeight="1">
      <c r="A134" s="78"/>
      <c r="B134" s="78" t="s">
        <v>355</v>
      </c>
      <c r="C134" s="78"/>
      <c r="D134" s="91"/>
      <c r="E134" s="83"/>
      <c r="F134" s="64"/>
      <c r="G134" s="99"/>
      <c r="H134" s="66"/>
      <c r="I134" s="67"/>
      <c r="J134" s="68"/>
      <c r="K134" s="69"/>
    </row>
    <row r="135" spans="1:11" ht="14.1" customHeight="1">
      <c r="A135" s="78"/>
      <c r="B135" s="78" t="s">
        <v>356</v>
      </c>
      <c r="C135" s="78"/>
      <c r="D135" s="91"/>
      <c r="E135" s="83"/>
      <c r="F135" s="64"/>
      <c r="G135" s="99"/>
      <c r="H135" s="66"/>
      <c r="I135" s="67"/>
      <c r="J135" s="68"/>
      <c r="K135" s="69"/>
    </row>
    <row r="136" spans="1:11" ht="14.1" customHeight="1">
      <c r="A136" s="78"/>
      <c r="B136" s="78" t="s">
        <v>357</v>
      </c>
      <c r="C136" s="78"/>
      <c r="D136" s="91"/>
      <c r="E136" s="83"/>
      <c r="F136" s="64"/>
      <c r="G136" s="99"/>
      <c r="H136" s="66"/>
      <c r="I136" s="67"/>
      <c r="J136" s="68"/>
      <c r="K136" s="69"/>
    </row>
    <row r="137" spans="1:11" ht="14.1" customHeight="1">
      <c r="A137" s="78"/>
      <c r="B137" s="78" t="s">
        <v>358</v>
      </c>
      <c r="C137" s="78"/>
      <c r="D137" s="91"/>
      <c r="E137" s="83"/>
      <c r="F137" s="64"/>
      <c r="G137" s="99"/>
      <c r="H137" s="66"/>
      <c r="I137" s="67"/>
      <c r="J137" s="68"/>
      <c r="K137" s="69"/>
    </row>
    <row r="138" spans="1:11" ht="14.1" customHeight="1">
      <c r="A138" s="78"/>
      <c r="B138" s="78" t="s">
        <v>359</v>
      </c>
      <c r="C138" s="78"/>
      <c r="D138" s="200"/>
      <c r="E138" s="83"/>
      <c r="F138" s="64"/>
      <c r="G138" s="99"/>
      <c r="H138" s="66"/>
      <c r="I138" s="67"/>
      <c r="J138" s="68"/>
      <c r="K138" s="80"/>
    </row>
    <row r="139" spans="1:11" ht="14.1" customHeight="1">
      <c r="A139" s="60"/>
      <c r="B139" s="78" t="s">
        <v>346</v>
      </c>
      <c r="C139" s="78"/>
      <c r="D139" s="100">
        <f>Mes!J163</f>
        <v>192</v>
      </c>
      <c r="E139" s="92" t="s">
        <v>10</v>
      </c>
      <c r="F139" s="93"/>
      <c r="G139" s="94"/>
      <c r="H139" s="87"/>
      <c r="I139" s="95" t="s">
        <v>6</v>
      </c>
      <c r="J139" s="96"/>
      <c r="K139" s="97"/>
    </row>
    <row r="140" spans="1:11" ht="14.1" customHeight="1">
      <c r="A140" s="60"/>
      <c r="B140" s="78"/>
      <c r="C140" s="78"/>
      <c r="D140" s="62"/>
      <c r="E140" s="49"/>
      <c r="F140" s="64"/>
      <c r="G140" s="65"/>
      <c r="H140" s="66"/>
      <c r="I140" s="67"/>
      <c r="J140" s="68"/>
      <c r="K140" s="80"/>
    </row>
    <row r="141" spans="1:11" ht="14.1" customHeight="1">
      <c r="A141" s="50">
        <v>6</v>
      </c>
      <c r="B141" s="90" t="s">
        <v>360</v>
      </c>
      <c r="C141" s="78"/>
      <c r="D141" s="91"/>
      <c r="E141" s="92"/>
      <c r="F141" s="93"/>
      <c r="G141" s="94"/>
      <c r="H141" s="87"/>
      <c r="I141" s="95"/>
      <c r="J141" s="96"/>
      <c r="K141" s="97"/>
    </row>
    <row r="142" spans="1:11" ht="14.1" customHeight="1">
      <c r="A142" s="50"/>
      <c r="B142" s="90" t="s">
        <v>361</v>
      </c>
      <c r="C142" s="78"/>
      <c r="D142" s="91"/>
      <c r="E142" s="92"/>
      <c r="F142" s="93"/>
      <c r="G142" s="94"/>
      <c r="H142" s="87"/>
      <c r="I142" s="95"/>
      <c r="J142" s="96"/>
      <c r="K142" s="97"/>
    </row>
    <row r="143" spans="1:11" ht="14.1" customHeight="1">
      <c r="A143" s="50"/>
      <c r="B143" s="90" t="s">
        <v>362</v>
      </c>
      <c r="C143" s="78"/>
      <c r="D143" s="91"/>
      <c r="E143" s="92"/>
      <c r="F143" s="93"/>
      <c r="G143" s="94"/>
      <c r="H143" s="87"/>
      <c r="I143" s="95"/>
      <c r="J143" s="96"/>
      <c r="K143" s="97"/>
    </row>
    <row r="144" spans="1:11" ht="14.1" customHeight="1">
      <c r="A144" s="50"/>
      <c r="B144" s="90" t="s">
        <v>363</v>
      </c>
      <c r="C144" s="78"/>
      <c r="D144" s="91"/>
      <c r="E144" s="92"/>
      <c r="F144" s="93"/>
      <c r="G144" s="94"/>
      <c r="H144" s="87"/>
      <c r="I144" s="95"/>
      <c r="J144" s="96"/>
      <c r="K144" s="97"/>
    </row>
    <row r="145" spans="1:12" ht="14.1" customHeight="1">
      <c r="A145" s="50"/>
      <c r="B145" s="90" t="s">
        <v>364</v>
      </c>
      <c r="C145" s="78"/>
      <c r="D145" s="91"/>
      <c r="E145" s="92"/>
      <c r="F145" s="93"/>
      <c r="G145" s="94"/>
      <c r="H145" s="87"/>
      <c r="I145" s="95"/>
      <c r="J145" s="96"/>
      <c r="K145" s="97"/>
    </row>
    <row r="146" spans="1:12" ht="14.1" customHeight="1">
      <c r="A146" s="50"/>
      <c r="B146" s="90" t="s">
        <v>365</v>
      </c>
      <c r="C146" s="78"/>
      <c r="D146" s="91"/>
      <c r="E146" s="92"/>
      <c r="F146" s="93"/>
      <c r="G146" s="94"/>
      <c r="H146" s="87"/>
      <c r="I146" s="95"/>
      <c r="J146" s="96"/>
      <c r="K146" s="97"/>
    </row>
    <row r="147" spans="1:12" ht="14.1" customHeight="1">
      <c r="A147" s="50"/>
      <c r="B147" s="90" t="s">
        <v>366</v>
      </c>
      <c r="C147" s="78"/>
      <c r="D147" s="91"/>
      <c r="E147" s="92"/>
      <c r="F147" s="93"/>
      <c r="G147" s="94"/>
      <c r="H147" s="87"/>
      <c r="I147" s="95"/>
      <c r="J147" s="96"/>
      <c r="K147" s="97"/>
    </row>
    <row r="148" spans="1:12" ht="14.1" customHeight="1">
      <c r="A148" s="50"/>
      <c r="B148" s="90" t="s">
        <v>367</v>
      </c>
      <c r="C148" s="78"/>
      <c r="D148" s="91"/>
      <c r="E148" s="92"/>
      <c r="F148" s="93"/>
      <c r="G148" s="94"/>
      <c r="H148" s="87"/>
      <c r="I148" s="95"/>
      <c r="J148" s="96"/>
      <c r="K148" s="97"/>
    </row>
    <row r="149" spans="1:12" ht="14.1" customHeight="1">
      <c r="A149" s="50"/>
      <c r="B149" s="90" t="s">
        <v>368</v>
      </c>
      <c r="C149" s="78"/>
      <c r="D149" s="91"/>
      <c r="E149" s="52"/>
      <c r="F149" s="52"/>
      <c r="G149" s="52"/>
      <c r="H149" s="92"/>
      <c r="I149" s="52"/>
      <c r="J149" s="52"/>
      <c r="K149" s="52"/>
    </row>
    <row r="150" spans="1:12" ht="14.1" customHeight="1">
      <c r="A150" s="50"/>
      <c r="B150" s="78" t="s">
        <v>71</v>
      </c>
      <c r="C150" s="78"/>
      <c r="D150" s="62">
        <f>Mes!J174</f>
        <v>2012.5</v>
      </c>
      <c r="E150" s="49" t="s">
        <v>10</v>
      </c>
      <c r="F150" s="64"/>
      <c r="G150" s="65"/>
      <c r="H150" s="66"/>
      <c r="I150" s="67" t="s">
        <v>6</v>
      </c>
      <c r="J150" s="68"/>
      <c r="K150" s="80"/>
      <c r="L150" s="52"/>
    </row>
    <row r="151" spans="1:12" ht="14.1" customHeight="1">
      <c r="A151" s="60"/>
      <c r="B151" s="78"/>
      <c r="C151" s="79"/>
      <c r="D151" s="62"/>
      <c r="E151" s="49"/>
      <c r="F151" s="64"/>
      <c r="G151" s="65"/>
      <c r="H151" s="66"/>
      <c r="I151" s="67"/>
      <c r="J151" s="68"/>
      <c r="K151" s="80"/>
      <c r="L151" s="52"/>
    </row>
    <row r="152" spans="1:12" ht="14.1" customHeight="1">
      <c r="A152" s="60">
        <v>7</v>
      </c>
      <c r="B152" s="98" t="s">
        <v>369</v>
      </c>
      <c r="C152" s="78"/>
      <c r="D152" s="200"/>
      <c r="E152" s="83"/>
      <c r="F152" s="64"/>
      <c r="G152" s="99"/>
      <c r="H152" s="66"/>
      <c r="I152" s="67"/>
      <c r="J152" s="68"/>
      <c r="K152" s="80"/>
      <c r="L152" s="52"/>
    </row>
    <row r="153" spans="1:12" ht="14.1" customHeight="1">
      <c r="A153" s="60"/>
      <c r="B153" s="98" t="s">
        <v>370</v>
      </c>
      <c r="C153" s="78"/>
      <c r="D153" s="200"/>
      <c r="E153" s="83"/>
      <c r="F153" s="64"/>
      <c r="G153" s="99"/>
      <c r="H153" s="66"/>
      <c r="I153" s="67"/>
      <c r="J153" s="68"/>
      <c r="K153" s="80"/>
      <c r="L153" s="52"/>
    </row>
    <row r="154" spans="1:12" ht="14.1" customHeight="1">
      <c r="A154" s="60"/>
      <c r="B154" s="98" t="s">
        <v>371</v>
      </c>
      <c r="C154" s="78"/>
      <c r="D154" s="200"/>
      <c r="E154" s="83"/>
      <c r="F154" s="64"/>
      <c r="G154" s="99"/>
      <c r="H154" s="66"/>
      <c r="I154" s="67"/>
      <c r="J154" s="68"/>
      <c r="K154" s="80"/>
      <c r="L154" s="52"/>
    </row>
    <row r="155" spans="1:12" ht="14.1" customHeight="1">
      <c r="A155" s="60"/>
      <c r="B155" s="98" t="s">
        <v>372</v>
      </c>
      <c r="C155" s="78"/>
      <c r="D155" s="200"/>
      <c r="E155" s="83"/>
      <c r="F155" s="64"/>
      <c r="G155" s="99"/>
      <c r="H155" s="66"/>
      <c r="I155" s="67"/>
      <c r="J155" s="68"/>
      <c r="K155" s="80"/>
    </row>
    <row r="156" spans="1:12" ht="14.1" customHeight="1">
      <c r="A156" s="60"/>
      <c r="B156" s="98" t="s">
        <v>373</v>
      </c>
      <c r="C156" s="78"/>
      <c r="D156" s="62">
        <f>Mes!J184</f>
        <v>914.86</v>
      </c>
      <c r="E156" s="49" t="s">
        <v>10</v>
      </c>
      <c r="F156" s="64"/>
      <c r="G156" s="65"/>
      <c r="H156" s="66"/>
      <c r="I156" s="67" t="s">
        <v>6</v>
      </c>
      <c r="J156" s="68"/>
      <c r="K156" s="80"/>
    </row>
    <row r="157" spans="1:12" ht="14.1" customHeight="1">
      <c r="A157" s="60"/>
      <c r="B157" s="78"/>
      <c r="C157" s="79"/>
      <c r="D157" s="62"/>
      <c r="E157" s="49"/>
      <c r="F157" s="64"/>
      <c r="G157" s="65"/>
      <c r="H157" s="66"/>
      <c r="I157" s="67"/>
      <c r="J157" s="68"/>
      <c r="K157" s="80"/>
    </row>
    <row r="158" spans="1:12" ht="14.1" customHeight="1">
      <c r="A158" s="50">
        <v>8</v>
      </c>
      <c r="B158" s="52" t="s">
        <v>374</v>
      </c>
      <c r="C158" s="102"/>
      <c r="D158" s="100"/>
      <c r="E158" s="92"/>
      <c r="F158" s="93"/>
      <c r="G158" s="94"/>
      <c r="H158" s="87"/>
      <c r="I158" s="95"/>
      <c r="J158" s="96"/>
      <c r="K158" s="52"/>
    </row>
    <row r="159" spans="1:12" ht="14.1" customHeight="1">
      <c r="A159" s="50"/>
      <c r="B159" s="104" t="s">
        <v>515</v>
      </c>
      <c r="C159" s="102"/>
      <c r="D159" s="100"/>
      <c r="E159" s="92"/>
      <c r="F159" s="93"/>
      <c r="G159" s="94"/>
      <c r="H159" s="87"/>
      <c r="I159" s="95"/>
      <c r="J159" s="96"/>
      <c r="K159" s="52"/>
    </row>
    <row r="160" spans="1:12" ht="14.1" customHeight="1">
      <c r="A160" s="50"/>
      <c r="B160" s="104" t="s">
        <v>375</v>
      </c>
      <c r="C160" s="102"/>
      <c r="D160" s="100"/>
      <c r="E160" s="92"/>
      <c r="F160" s="93"/>
      <c r="G160" s="94"/>
      <c r="H160" s="87"/>
      <c r="I160" s="95"/>
      <c r="J160" s="96"/>
      <c r="K160" s="52"/>
    </row>
    <row r="161" spans="1:11" ht="14.1" customHeight="1">
      <c r="A161" s="50"/>
      <c r="B161" s="104" t="s">
        <v>376</v>
      </c>
      <c r="C161" s="102"/>
      <c r="D161" s="100"/>
      <c r="E161" s="92"/>
      <c r="F161" s="93"/>
      <c r="G161" s="94"/>
      <c r="H161" s="87"/>
      <c r="I161" s="95"/>
      <c r="J161" s="96"/>
      <c r="K161" s="52"/>
    </row>
    <row r="162" spans="1:11" ht="14.1" customHeight="1">
      <c r="A162" s="50"/>
      <c r="B162" s="104" t="s">
        <v>377</v>
      </c>
      <c r="C162" s="102"/>
      <c r="D162" s="100"/>
      <c r="E162" s="92"/>
      <c r="F162" s="93"/>
      <c r="G162" s="94"/>
      <c r="H162" s="87"/>
      <c r="I162" s="95"/>
      <c r="J162" s="96"/>
      <c r="K162" s="52"/>
    </row>
    <row r="163" spans="1:11" ht="14.1" customHeight="1">
      <c r="A163" s="50"/>
      <c r="B163" s="104" t="s">
        <v>378</v>
      </c>
      <c r="C163" s="102"/>
      <c r="D163" s="100">
        <f>Mes!J194</f>
        <v>468.84500000000003</v>
      </c>
      <c r="E163" s="92" t="s">
        <v>10</v>
      </c>
      <c r="F163" s="93"/>
      <c r="G163" s="94"/>
      <c r="H163" s="87"/>
      <c r="I163" s="95" t="s">
        <v>6</v>
      </c>
      <c r="J163" s="96"/>
      <c r="K163" s="97"/>
    </row>
    <row r="164" spans="1:11" ht="14.1" customHeight="1">
      <c r="A164" s="60"/>
      <c r="B164" s="78"/>
      <c r="C164" s="79"/>
      <c r="D164" s="62"/>
      <c r="E164" s="49"/>
      <c r="F164" s="64"/>
      <c r="G164" s="65"/>
      <c r="H164" s="66"/>
      <c r="I164" s="67"/>
      <c r="J164" s="68"/>
      <c r="K164" s="80"/>
    </row>
    <row r="165" spans="1:11" ht="14.1" customHeight="1">
      <c r="A165" s="60">
        <v>9</v>
      </c>
      <c r="B165" s="215" t="s">
        <v>314</v>
      </c>
      <c r="C165" s="79"/>
      <c r="D165" s="62"/>
      <c r="E165" s="49"/>
      <c r="F165" s="64"/>
      <c r="G165" s="65"/>
      <c r="H165" s="66"/>
      <c r="I165" s="67"/>
      <c r="J165" s="68"/>
      <c r="K165" s="80"/>
    </row>
    <row r="166" spans="1:11" ht="14.1" customHeight="1">
      <c r="A166" s="60"/>
      <c r="B166" s="215" t="s">
        <v>315</v>
      </c>
      <c r="C166" s="79"/>
      <c r="D166" s="62"/>
      <c r="E166" s="49"/>
      <c r="F166" s="64"/>
      <c r="G166" s="65"/>
      <c r="H166" s="66"/>
      <c r="I166" s="67"/>
      <c r="J166" s="68"/>
      <c r="K166" s="80"/>
    </row>
    <row r="167" spans="1:11" ht="14.1" customHeight="1">
      <c r="A167" s="60"/>
      <c r="B167" s="215" t="s">
        <v>316</v>
      </c>
      <c r="C167" s="79"/>
      <c r="D167" s="78"/>
      <c r="E167" s="78"/>
      <c r="F167" s="78"/>
      <c r="G167" s="78"/>
      <c r="H167" s="78"/>
      <c r="I167" s="78"/>
      <c r="J167" s="78"/>
      <c r="K167" s="78"/>
    </row>
    <row r="168" spans="1:11" ht="14.1" customHeight="1">
      <c r="A168" s="60"/>
      <c r="B168" s="216" t="s">
        <v>514</v>
      </c>
      <c r="C168" s="79"/>
      <c r="D168" s="62"/>
      <c r="E168" s="49"/>
      <c r="F168" s="64"/>
      <c r="G168" s="65"/>
      <c r="H168" s="66"/>
      <c r="I168" s="67"/>
      <c r="J168" s="68"/>
      <c r="K168" s="80"/>
    </row>
    <row r="169" spans="1:11" ht="14.1" customHeight="1">
      <c r="A169" s="60"/>
      <c r="B169" s="217" t="s">
        <v>313</v>
      </c>
      <c r="C169" s="61"/>
      <c r="D169" s="100">
        <f>Mes!J197</f>
        <v>10286.9125</v>
      </c>
      <c r="E169" s="92" t="s">
        <v>10</v>
      </c>
      <c r="F169" s="93"/>
      <c r="G169" s="94"/>
      <c r="H169" s="87"/>
      <c r="I169" s="95" t="s">
        <v>6</v>
      </c>
      <c r="J169" s="96"/>
      <c r="K169" s="97"/>
    </row>
    <row r="170" spans="1:11" ht="14.1" customHeight="1">
      <c r="A170" s="60"/>
      <c r="B170" s="183"/>
      <c r="C170" s="61"/>
      <c r="D170" s="62"/>
      <c r="E170" s="63"/>
      <c r="F170" s="64"/>
      <c r="G170" s="65"/>
      <c r="H170" s="66"/>
      <c r="I170" s="67"/>
      <c r="J170" s="68"/>
      <c r="K170" s="69"/>
    </row>
    <row r="171" spans="1:11" ht="15" customHeight="1">
      <c r="A171" s="60">
        <v>10</v>
      </c>
      <c r="B171" s="52" t="s">
        <v>379</v>
      </c>
      <c r="C171" s="78"/>
      <c r="D171" s="100"/>
      <c r="E171" s="101"/>
      <c r="F171" s="93"/>
      <c r="G171" s="94"/>
      <c r="H171" s="87"/>
      <c r="I171" s="95"/>
      <c r="J171" s="96"/>
      <c r="K171" s="97"/>
    </row>
    <row r="172" spans="1:11" ht="15" customHeight="1">
      <c r="A172" s="60"/>
      <c r="B172" s="52" t="s">
        <v>380</v>
      </c>
      <c r="C172" s="78"/>
      <c r="D172" s="100"/>
      <c r="E172" s="101"/>
      <c r="F172" s="93"/>
      <c r="G172" s="94"/>
      <c r="H172" s="87"/>
      <c r="I172" s="95"/>
      <c r="J172" s="96"/>
      <c r="K172" s="97"/>
    </row>
    <row r="173" spans="1:11" ht="14.1" customHeight="1">
      <c r="A173" s="60"/>
      <c r="B173" s="52" t="s">
        <v>381</v>
      </c>
      <c r="C173" s="78"/>
      <c r="D173" s="100"/>
      <c r="E173" s="101"/>
      <c r="F173" s="93"/>
      <c r="G173" s="94"/>
      <c r="H173" s="87"/>
      <c r="I173" s="95"/>
      <c r="J173" s="96"/>
      <c r="K173" s="97"/>
    </row>
    <row r="174" spans="1:11" ht="14.1" customHeight="1">
      <c r="A174" s="60"/>
      <c r="B174" s="52" t="s">
        <v>382</v>
      </c>
      <c r="C174" s="78"/>
      <c r="D174" s="100"/>
      <c r="E174" s="101"/>
      <c r="F174" s="93"/>
      <c r="G174" s="94"/>
      <c r="H174" s="87"/>
      <c r="I174" s="95"/>
      <c r="J174" s="96"/>
      <c r="K174" s="97"/>
    </row>
    <row r="175" spans="1:11" ht="14.1" customHeight="1">
      <c r="A175" s="60"/>
      <c r="B175" s="52" t="s">
        <v>383</v>
      </c>
      <c r="C175" s="78"/>
      <c r="D175" s="100"/>
      <c r="E175" s="101"/>
      <c r="F175" s="93"/>
      <c r="G175" s="94"/>
      <c r="H175" s="87"/>
      <c r="I175" s="95"/>
      <c r="J175" s="96"/>
      <c r="K175" s="97"/>
    </row>
    <row r="176" spans="1:11" ht="14.1" customHeight="1">
      <c r="A176" s="60"/>
      <c r="B176" s="52" t="s">
        <v>384</v>
      </c>
      <c r="C176" s="78"/>
      <c r="D176" s="100">
        <f>Mes!J202</f>
        <v>3508.125</v>
      </c>
      <c r="E176" s="101" t="s">
        <v>10</v>
      </c>
      <c r="F176" s="93"/>
      <c r="G176" s="94"/>
      <c r="H176" s="87"/>
      <c r="I176" s="95" t="s">
        <v>6</v>
      </c>
      <c r="J176" s="96"/>
      <c r="K176" s="97"/>
    </row>
    <row r="177" spans="1:11" ht="14.1" customHeight="1">
      <c r="A177" s="60"/>
      <c r="B177" s="183"/>
      <c r="C177" s="61"/>
      <c r="D177" s="62"/>
      <c r="E177" s="63"/>
      <c r="F177" s="64"/>
      <c r="G177" s="65"/>
      <c r="H177" s="66"/>
      <c r="I177" s="67"/>
      <c r="J177" s="68"/>
      <c r="K177" s="69"/>
    </row>
    <row r="178" spans="1:11" ht="14.1" customHeight="1">
      <c r="A178" s="60">
        <v>11</v>
      </c>
      <c r="B178" s="78" t="s">
        <v>385</v>
      </c>
      <c r="C178" s="78"/>
      <c r="D178" s="82"/>
      <c r="E178" s="83"/>
      <c r="F178" s="64"/>
      <c r="G178" s="67"/>
      <c r="H178" s="83"/>
      <c r="I178" s="67"/>
      <c r="J178" s="64"/>
      <c r="K178" s="83"/>
    </row>
    <row r="179" spans="1:11" ht="14.1" customHeight="1">
      <c r="A179" s="60"/>
      <c r="B179" s="78" t="s">
        <v>386</v>
      </c>
      <c r="C179" s="78"/>
      <c r="D179" s="62">
        <f>Mes!J205</f>
        <v>4</v>
      </c>
      <c r="E179" s="49" t="s">
        <v>17</v>
      </c>
      <c r="F179" s="64"/>
      <c r="G179" s="65"/>
      <c r="H179" s="66"/>
      <c r="I179" s="67" t="s">
        <v>4</v>
      </c>
      <c r="J179" s="68"/>
      <c r="K179" s="80"/>
    </row>
    <row r="180" spans="1:11" ht="14.1" customHeight="1">
      <c r="A180" s="60"/>
      <c r="B180" s="184"/>
      <c r="C180" s="61"/>
      <c r="D180" s="62"/>
      <c r="E180" s="63"/>
      <c r="F180" s="64"/>
      <c r="G180" s="65"/>
      <c r="H180" s="66"/>
      <c r="I180" s="67"/>
      <c r="J180" s="68"/>
      <c r="K180" s="69"/>
    </row>
    <row r="181" spans="1:11" ht="14.1" customHeight="1">
      <c r="A181" s="50">
        <v>12</v>
      </c>
      <c r="B181" s="52" t="s">
        <v>387</v>
      </c>
      <c r="C181" s="78"/>
      <c r="D181" s="91"/>
      <c r="E181" s="92"/>
      <c r="F181" s="93"/>
      <c r="G181" s="94"/>
      <c r="H181" s="87"/>
      <c r="I181" s="95"/>
      <c r="J181" s="96"/>
      <c r="K181" s="97"/>
    </row>
    <row r="182" spans="1:11" ht="14.1" customHeight="1">
      <c r="A182" s="50"/>
      <c r="B182" s="52" t="s">
        <v>388</v>
      </c>
      <c r="C182" s="78"/>
      <c r="D182" s="103"/>
      <c r="E182" s="92"/>
      <c r="F182" s="93"/>
      <c r="G182" s="94"/>
      <c r="H182" s="87"/>
      <c r="I182" s="95"/>
      <c r="J182" s="96"/>
      <c r="K182" s="97"/>
    </row>
    <row r="183" spans="1:11" ht="14.1" customHeight="1">
      <c r="A183" s="50"/>
      <c r="B183" s="51" t="s">
        <v>389</v>
      </c>
      <c r="C183" s="50"/>
      <c r="D183" s="103"/>
      <c r="E183" s="92"/>
      <c r="F183" s="93"/>
      <c r="G183" s="94"/>
      <c r="H183" s="87"/>
      <c r="I183" s="95"/>
      <c r="J183" s="96"/>
      <c r="K183" s="97"/>
    </row>
    <row r="184" spans="1:11" ht="14.1" customHeight="1">
      <c r="A184" s="50"/>
      <c r="B184" s="52" t="s">
        <v>390</v>
      </c>
      <c r="C184" s="50"/>
      <c r="D184" s="200"/>
      <c r="E184" s="83"/>
      <c r="F184" s="64"/>
      <c r="G184" s="99"/>
      <c r="H184" s="66"/>
      <c r="I184" s="67"/>
      <c r="J184" s="68"/>
      <c r="K184" s="80"/>
    </row>
    <row r="185" spans="1:11" ht="14.1" customHeight="1">
      <c r="A185" s="50"/>
      <c r="B185" s="52" t="s">
        <v>391</v>
      </c>
      <c r="C185" s="50"/>
      <c r="D185" s="103"/>
      <c r="E185" s="92"/>
      <c r="F185" s="93"/>
      <c r="G185" s="94"/>
      <c r="H185" s="87"/>
      <c r="I185" s="95"/>
      <c r="J185" s="96"/>
      <c r="K185" s="97"/>
    </row>
    <row r="186" spans="1:11" ht="14.1" customHeight="1">
      <c r="A186" s="60"/>
      <c r="B186" s="78" t="s">
        <v>392</v>
      </c>
      <c r="C186" s="78"/>
      <c r="D186" s="200"/>
      <c r="E186" s="83"/>
      <c r="F186" s="64"/>
      <c r="G186" s="99"/>
      <c r="H186" s="66"/>
      <c r="I186" s="67"/>
      <c r="J186" s="205"/>
      <c r="K186" s="69"/>
    </row>
    <row r="187" spans="1:11" ht="14.1" customHeight="1">
      <c r="A187" s="60"/>
      <c r="B187" s="78" t="s">
        <v>393</v>
      </c>
      <c r="C187" s="78"/>
      <c r="D187" s="62"/>
      <c r="E187" s="78"/>
      <c r="F187" s="78"/>
      <c r="G187" s="78"/>
      <c r="H187" s="78"/>
      <c r="I187" s="78"/>
      <c r="J187" s="78"/>
      <c r="K187" s="78"/>
    </row>
    <row r="188" spans="1:11" ht="14.1" customHeight="1">
      <c r="A188" s="60"/>
      <c r="B188" s="78" t="s">
        <v>104</v>
      </c>
      <c r="C188" s="78"/>
      <c r="D188" s="62">
        <f>Mes!J209</f>
        <v>332</v>
      </c>
      <c r="E188" s="49" t="s">
        <v>24</v>
      </c>
      <c r="F188" s="64"/>
      <c r="G188" s="65"/>
      <c r="H188" s="66"/>
      <c r="I188" s="67" t="s">
        <v>106</v>
      </c>
      <c r="J188" s="68"/>
      <c r="K188" s="80"/>
    </row>
    <row r="189" spans="1:11" ht="14.1" customHeight="1">
      <c r="A189" s="60"/>
      <c r="B189" s="78"/>
      <c r="C189" s="78"/>
      <c r="D189" s="62"/>
      <c r="E189" s="49"/>
      <c r="F189" s="64"/>
      <c r="G189" s="65"/>
      <c r="H189" s="66"/>
      <c r="I189" s="67"/>
      <c r="J189" s="68"/>
      <c r="K189" s="80"/>
    </row>
    <row r="190" spans="1:11" ht="14.1" customHeight="1">
      <c r="A190" s="50">
        <v>13</v>
      </c>
      <c r="B190" s="52" t="s">
        <v>394</v>
      </c>
      <c r="C190" s="78"/>
      <c r="D190" s="91"/>
      <c r="E190" s="92"/>
      <c r="F190" s="93"/>
      <c r="G190" s="94"/>
      <c r="H190" s="87"/>
      <c r="I190" s="95"/>
      <c r="J190" s="96"/>
      <c r="K190" s="97"/>
    </row>
    <row r="191" spans="1:11" ht="14.1" customHeight="1">
      <c r="A191" s="50"/>
      <c r="B191" s="52" t="s">
        <v>388</v>
      </c>
      <c r="C191" s="78"/>
      <c r="D191" s="103"/>
      <c r="E191" s="92"/>
      <c r="F191" s="93"/>
      <c r="G191" s="94"/>
      <c r="H191" s="87"/>
      <c r="I191" s="95"/>
      <c r="J191" s="96"/>
      <c r="K191" s="97"/>
    </row>
    <row r="192" spans="1:11" ht="14.1" customHeight="1">
      <c r="A192" s="50"/>
      <c r="B192" s="51" t="s">
        <v>389</v>
      </c>
      <c r="C192" s="50"/>
      <c r="D192" s="103"/>
      <c r="E192" s="92"/>
      <c r="F192" s="93"/>
      <c r="G192" s="94"/>
      <c r="H192" s="87"/>
      <c r="I192" s="95"/>
      <c r="J192" s="96"/>
      <c r="K192" s="97"/>
    </row>
    <row r="193" spans="1:11" ht="14.1" customHeight="1">
      <c r="A193" s="50"/>
      <c r="B193" s="52" t="s">
        <v>390</v>
      </c>
      <c r="C193" s="50"/>
      <c r="D193" s="200"/>
      <c r="E193" s="83"/>
      <c r="F193" s="64"/>
      <c r="G193" s="99"/>
      <c r="H193" s="66"/>
      <c r="I193" s="67"/>
      <c r="J193" s="68"/>
      <c r="K193" s="80"/>
    </row>
    <row r="194" spans="1:11" ht="14.1" customHeight="1">
      <c r="A194" s="50"/>
      <c r="B194" s="52" t="s">
        <v>391</v>
      </c>
      <c r="C194" s="50"/>
      <c r="D194" s="103"/>
      <c r="E194" s="92"/>
      <c r="F194" s="93"/>
      <c r="G194" s="94"/>
      <c r="H194" s="87"/>
      <c r="I194" s="95"/>
      <c r="J194" s="96"/>
      <c r="K194" s="97"/>
    </row>
    <row r="195" spans="1:11" ht="14.1" customHeight="1">
      <c r="A195" s="60"/>
      <c r="B195" s="78" t="s">
        <v>392</v>
      </c>
      <c r="C195" s="78"/>
      <c r="D195" s="200"/>
      <c r="E195" s="83"/>
      <c r="F195" s="64"/>
      <c r="G195" s="99"/>
      <c r="H195" s="66"/>
      <c r="I195" s="67"/>
      <c r="J195" s="205"/>
      <c r="K195" s="69"/>
    </row>
    <row r="196" spans="1:11" ht="14.1" customHeight="1">
      <c r="A196" s="60"/>
      <c r="B196" s="78" t="s">
        <v>393</v>
      </c>
      <c r="C196" s="78"/>
      <c r="D196" s="62"/>
      <c r="E196" s="78"/>
      <c r="F196" s="78"/>
      <c r="G196" s="78"/>
      <c r="H196" s="78"/>
      <c r="I196" s="78"/>
      <c r="J196" s="78"/>
      <c r="K196" s="78"/>
    </row>
    <row r="197" spans="1:11" ht="14.1" customHeight="1">
      <c r="A197" s="60"/>
      <c r="B197" s="78" t="s">
        <v>104</v>
      </c>
      <c r="C197" s="78"/>
      <c r="D197" s="62">
        <f>Mes!J212</f>
        <v>144</v>
      </c>
      <c r="E197" s="49" t="s">
        <v>24</v>
      </c>
      <c r="F197" s="64"/>
      <c r="G197" s="65"/>
      <c r="H197" s="66"/>
      <c r="I197" s="67" t="s">
        <v>106</v>
      </c>
      <c r="J197" s="68"/>
      <c r="K197" s="80"/>
    </row>
    <row r="198" spans="1:11" ht="14.1" customHeight="1">
      <c r="A198" s="50"/>
      <c r="B198" s="185"/>
      <c r="C198" s="112"/>
      <c r="D198" s="62"/>
      <c r="E198" s="86"/>
      <c r="F198" s="86"/>
      <c r="G198" s="86"/>
      <c r="H198" s="87" t="s">
        <v>395</v>
      </c>
      <c r="I198" s="88"/>
      <c r="J198" s="89"/>
      <c r="K198" s="80"/>
    </row>
    <row r="199" spans="1:11" ht="14.1" customHeight="1">
      <c r="A199" s="50"/>
      <c r="B199" s="185"/>
      <c r="C199" s="112"/>
      <c r="D199" s="62"/>
      <c r="E199" s="86"/>
      <c r="F199" s="86"/>
      <c r="G199" s="86"/>
      <c r="H199" s="87"/>
      <c r="I199" s="88"/>
      <c r="J199" s="111"/>
      <c r="K199" s="80"/>
    </row>
    <row r="200" spans="1:11" ht="14.1" customHeight="1">
      <c r="A200" s="50"/>
      <c r="B200" s="206" t="s">
        <v>127</v>
      </c>
      <c r="C200" s="112"/>
      <c r="D200" s="62"/>
      <c r="E200" s="86"/>
      <c r="F200" s="86"/>
      <c r="G200" s="86"/>
      <c r="H200" s="87"/>
      <c r="I200" s="88"/>
      <c r="J200" s="111"/>
      <c r="K200" s="80"/>
    </row>
    <row r="201" spans="1:11" ht="14.1" customHeight="1">
      <c r="A201" s="60">
        <v>1</v>
      </c>
      <c r="B201" s="78" t="s">
        <v>396</v>
      </c>
      <c r="C201" s="78"/>
      <c r="D201" s="103"/>
      <c r="E201" s="92"/>
      <c r="F201" s="93"/>
      <c r="G201" s="94"/>
      <c r="H201" s="87"/>
      <c r="I201" s="95"/>
      <c r="J201" s="105"/>
      <c r="K201" s="106"/>
    </row>
    <row r="202" spans="1:11" ht="14.1" customHeight="1">
      <c r="A202" s="60"/>
      <c r="B202" s="78" t="s">
        <v>397</v>
      </c>
      <c r="C202" s="78"/>
      <c r="D202" s="103"/>
      <c r="E202" s="92"/>
      <c r="F202" s="93"/>
      <c r="G202" s="94"/>
      <c r="H202" s="87"/>
      <c r="I202" s="95"/>
      <c r="J202" s="105"/>
      <c r="K202" s="106"/>
    </row>
    <row r="203" spans="1:11" ht="14.1" customHeight="1">
      <c r="A203" s="60"/>
      <c r="B203" s="78" t="s">
        <v>398</v>
      </c>
      <c r="C203" s="78"/>
      <c r="D203" s="50"/>
      <c r="E203" s="50"/>
      <c r="F203" s="50"/>
      <c r="G203" s="50"/>
      <c r="H203" s="77"/>
      <c r="I203" s="50"/>
      <c r="J203" s="50"/>
      <c r="K203" s="50"/>
    </row>
    <row r="204" spans="1:11" ht="14.1" customHeight="1">
      <c r="A204" s="50"/>
      <c r="B204" s="78" t="s">
        <v>399</v>
      </c>
      <c r="C204" s="78"/>
      <c r="D204" s="50"/>
      <c r="E204" s="50"/>
      <c r="F204" s="50"/>
      <c r="G204" s="50"/>
      <c r="H204" s="77"/>
      <c r="I204" s="50"/>
      <c r="J204" s="50"/>
      <c r="K204" s="50"/>
    </row>
    <row r="205" spans="1:11" ht="14.1" customHeight="1">
      <c r="A205" s="50"/>
      <c r="B205" s="78" t="s">
        <v>400</v>
      </c>
      <c r="C205" s="78"/>
      <c r="D205" s="50"/>
      <c r="E205" s="50"/>
      <c r="F205" s="50"/>
      <c r="G205" s="50"/>
      <c r="H205" s="77"/>
      <c r="I205" s="50"/>
      <c r="J205" s="50"/>
      <c r="K205" s="50"/>
    </row>
    <row r="206" spans="1:11" ht="14.1" customHeight="1">
      <c r="A206" s="78"/>
      <c r="B206" s="78" t="s">
        <v>153</v>
      </c>
      <c r="C206" s="78"/>
      <c r="D206" s="50"/>
      <c r="E206" s="50"/>
      <c r="F206" s="50"/>
      <c r="G206" s="50"/>
      <c r="H206" s="77"/>
      <c r="I206" s="50"/>
      <c r="J206" s="50"/>
      <c r="K206" s="50"/>
    </row>
    <row r="207" spans="1:11" ht="14.1" customHeight="1">
      <c r="A207" s="50"/>
      <c r="B207" s="78" t="s">
        <v>401</v>
      </c>
      <c r="C207" s="78"/>
      <c r="D207" s="50"/>
      <c r="E207" s="50"/>
      <c r="F207" s="50"/>
      <c r="G207" s="50"/>
      <c r="H207" s="77"/>
      <c r="I207" s="50"/>
      <c r="J207" s="50"/>
      <c r="K207" s="50"/>
    </row>
    <row r="208" spans="1:11" ht="14.1" customHeight="1">
      <c r="A208" s="50"/>
      <c r="B208" s="78" t="s">
        <v>402</v>
      </c>
      <c r="C208" s="50"/>
      <c r="D208" s="50"/>
      <c r="E208" s="50"/>
      <c r="F208" s="50"/>
      <c r="G208" s="50"/>
      <c r="H208" s="77"/>
      <c r="I208" s="50"/>
      <c r="J208" s="50"/>
      <c r="K208" s="50"/>
    </row>
    <row r="209" spans="1:11" ht="14.1" customHeight="1">
      <c r="A209" s="50"/>
      <c r="B209" s="78" t="s">
        <v>403</v>
      </c>
      <c r="C209" s="50"/>
      <c r="D209" s="82"/>
      <c r="E209" s="83"/>
      <c r="F209" s="64"/>
      <c r="G209" s="67"/>
      <c r="H209" s="83"/>
      <c r="I209" s="67"/>
      <c r="J209" s="64"/>
      <c r="K209" s="83"/>
    </row>
    <row r="210" spans="1:11" ht="14.1" customHeight="1">
      <c r="A210" s="50"/>
      <c r="B210" s="78" t="s">
        <v>404</v>
      </c>
      <c r="C210" s="50"/>
      <c r="D210" s="103">
        <f>Mes!J217</f>
        <v>1</v>
      </c>
      <c r="E210" s="92" t="s">
        <v>17</v>
      </c>
      <c r="F210" s="93">
        <v>5088</v>
      </c>
      <c r="G210" s="94" t="s">
        <v>9</v>
      </c>
      <c r="H210" s="87">
        <v>20</v>
      </c>
      <c r="I210" s="95" t="s">
        <v>4</v>
      </c>
      <c r="J210" s="105">
        <f>IF(MID(I210,1,2)=("P."),(ROUND(D210*((F210)+(H210/100)),)),IF(MID(I210,1,2)=("%o"),(ROUND(D210*(((F210)+(H210/100))/1000),)),IF(MID(I210,1,2)=("Ea"),(ROUND(D210*((F210)+(H210/100)),)),ROUND(D210*(((F210)+(H210/100))/100),))))</f>
        <v>5088</v>
      </c>
      <c r="K210" s="106" t="s">
        <v>11</v>
      </c>
    </row>
    <row r="211" spans="1:11" ht="14.1" customHeight="1">
      <c r="A211" s="50"/>
      <c r="B211" s="185"/>
      <c r="C211" s="112"/>
      <c r="D211" s="258" t="s">
        <v>563</v>
      </c>
      <c r="E211" s="258"/>
      <c r="F211" s="258"/>
      <c r="G211" s="258"/>
      <c r="H211" s="258"/>
      <c r="I211" s="258"/>
      <c r="J211" s="258"/>
      <c r="K211" s="258"/>
    </row>
    <row r="212" spans="1:11" ht="14.1" customHeight="1">
      <c r="A212" s="50">
        <v>2</v>
      </c>
      <c r="B212" s="85" t="s">
        <v>86</v>
      </c>
      <c r="C212" s="50"/>
      <c r="D212" s="50"/>
      <c r="E212" s="50"/>
      <c r="F212" s="50"/>
      <c r="G212" s="50"/>
      <c r="H212" s="77"/>
      <c r="I212" s="50"/>
      <c r="J212" s="50"/>
      <c r="K212" s="50"/>
    </row>
    <row r="213" spans="1:11" ht="14.1" customHeight="1">
      <c r="A213" s="50"/>
      <c r="B213" s="85" t="s">
        <v>87</v>
      </c>
      <c r="C213" s="50"/>
      <c r="D213" s="50"/>
      <c r="E213" s="50"/>
      <c r="F213" s="50"/>
      <c r="G213" s="50"/>
      <c r="H213" s="77"/>
      <c r="I213" s="50"/>
      <c r="J213" s="50"/>
      <c r="K213" s="50"/>
    </row>
    <row r="214" spans="1:11" ht="14.1" customHeight="1">
      <c r="A214" s="50"/>
      <c r="B214" s="85" t="s">
        <v>88</v>
      </c>
      <c r="C214" s="50"/>
      <c r="D214" s="50"/>
      <c r="E214" s="50"/>
      <c r="F214" s="50"/>
      <c r="G214" s="50"/>
      <c r="H214" s="77"/>
      <c r="I214" s="50"/>
      <c r="J214" s="50"/>
      <c r="K214" s="50"/>
    </row>
    <row r="215" spans="1:11" ht="14.1" customHeight="1">
      <c r="A215" s="50"/>
      <c r="B215" s="85" t="s">
        <v>89</v>
      </c>
      <c r="C215" s="50"/>
      <c r="D215" s="50"/>
      <c r="E215" s="50"/>
      <c r="F215" s="50"/>
      <c r="G215" s="50"/>
      <c r="H215" s="77"/>
      <c r="I215" s="50"/>
      <c r="J215" s="50"/>
      <c r="K215" s="50"/>
    </row>
    <row r="216" spans="1:11" ht="14.1" customHeight="1">
      <c r="A216" s="50"/>
      <c r="B216" s="85" t="s">
        <v>90</v>
      </c>
      <c r="C216" s="50"/>
      <c r="D216" s="50"/>
      <c r="E216" s="50"/>
      <c r="F216" s="50"/>
      <c r="G216" s="50"/>
      <c r="H216" s="77"/>
      <c r="I216" s="50"/>
      <c r="J216" s="50"/>
      <c r="K216" s="50"/>
    </row>
    <row r="217" spans="1:11" ht="14.1" customHeight="1">
      <c r="A217" s="50"/>
      <c r="B217" s="85" t="s">
        <v>91</v>
      </c>
      <c r="C217" s="50"/>
      <c r="D217" s="50"/>
      <c r="E217" s="50"/>
      <c r="F217" s="50"/>
      <c r="G217" s="50"/>
      <c r="H217" s="77"/>
      <c r="I217" s="50"/>
      <c r="J217" s="50"/>
      <c r="K217" s="50"/>
    </row>
    <row r="218" spans="1:11" ht="14.1" customHeight="1">
      <c r="A218" s="50"/>
      <c r="B218" s="85" t="s">
        <v>92</v>
      </c>
      <c r="C218" s="50"/>
      <c r="D218" s="50"/>
      <c r="E218" s="50"/>
      <c r="F218" s="50"/>
      <c r="G218" s="50"/>
      <c r="H218" s="77"/>
      <c r="I218" s="50"/>
      <c r="J218" s="50"/>
      <c r="K218" s="50"/>
    </row>
    <row r="219" spans="1:11" ht="14.1" customHeight="1">
      <c r="A219" s="50"/>
      <c r="B219" s="85" t="s">
        <v>93</v>
      </c>
      <c r="C219" s="50"/>
      <c r="D219" s="50"/>
      <c r="E219" s="50"/>
      <c r="F219" s="50"/>
      <c r="G219" s="50"/>
      <c r="H219" s="77"/>
      <c r="I219" s="50"/>
      <c r="J219" s="50"/>
      <c r="K219" s="50"/>
    </row>
    <row r="220" spans="1:11" ht="14.1" customHeight="1">
      <c r="A220" s="50"/>
      <c r="B220" s="85" t="s">
        <v>94</v>
      </c>
      <c r="C220" s="50"/>
      <c r="D220" s="50"/>
      <c r="E220" s="50"/>
      <c r="F220" s="50"/>
      <c r="G220" s="50"/>
      <c r="H220" s="77"/>
      <c r="I220" s="52"/>
      <c r="J220" s="52"/>
      <c r="K220" s="52"/>
    </row>
    <row r="221" spans="1:11" ht="14.1" customHeight="1">
      <c r="A221" s="50"/>
      <c r="B221" s="85" t="s">
        <v>95</v>
      </c>
      <c r="C221" s="50"/>
      <c r="D221" s="50"/>
      <c r="E221" s="50"/>
      <c r="F221" s="50"/>
      <c r="G221" s="50"/>
      <c r="H221" s="77"/>
      <c r="I221" s="95"/>
      <c r="J221" s="105"/>
      <c r="K221" s="106"/>
    </row>
    <row r="222" spans="1:11" ht="14.1" customHeight="1">
      <c r="A222" s="50"/>
      <c r="B222" s="85" t="s">
        <v>96</v>
      </c>
      <c r="C222" s="50"/>
      <c r="D222" s="50"/>
      <c r="E222" s="52"/>
      <c r="F222" s="52"/>
      <c r="G222" s="52"/>
      <c r="H222" s="92"/>
      <c r="I222" s="52"/>
      <c r="J222" s="52"/>
      <c r="K222" s="52"/>
    </row>
    <row r="223" spans="1:11" ht="14.1" customHeight="1">
      <c r="A223" s="50"/>
      <c r="B223" s="85" t="s">
        <v>97</v>
      </c>
      <c r="C223" s="50"/>
      <c r="D223" s="103">
        <f>Mes!J220</f>
        <v>1</v>
      </c>
      <c r="E223" s="92" t="s">
        <v>17</v>
      </c>
      <c r="F223" s="93">
        <v>4928</v>
      </c>
      <c r="G223" s="94" t="s">
        <v>9</v>
      </c>
      <c r="H223" s="87">
        <v>0</v>
      </c>
      <c r="I223" s="95" t="s">
        <v>4</v>
      </c>
      <c r="J223" s="105">
        <f>IF(MID(I223,1,2)=("P."),(ROUND(D223*((F223)+(H223/100)),)),IF(MID(I223,1,2)=("%o"),(ROUND(D223*(((F223)+(H223/100))/1000),)),IF(MID(I223,1,2)=("Ea"),(ROUND(D223*((F223)+(H223/100)),)),ROUND(D223*(((F223)+(H223/100))/100),))))</f>
        <v>4928</v>
      </c>
      <c r="K223" s="106" t="s">
        <v>11</v>
      </c>
    </row>
    <row r="224" spans="1:11" ht="14.1" customHeight="1">
      <c r="A224" s="50"/>
      <c r="B224" s="185"/>
      <c r="C224" s="112"/>
      <c r="D224" s="258" t="s">
        <v>564</v>
      </c>
      <c r="E224" s="258"/>
      <c r="F224" s="258"/>
      <c r="G224" s="258"/>
      <c r="H224" s="258"/>
      <c r="I224" s="258"/>
      <c r="J224" s="258"/>
      <c r="K224" s="258"/>
    </row>
    <row r="225" spans="1:11" ht="14.1" customHeight="1">
      <c r="A225" s="60">
        <v>3</v>
      </c>
      <c r="B225" s="78" t="s">
        <v>405</v>
      </c>
      <c r="C225" s="78"/>
      <c r="D225" s="103"/>
      <c r="E225" s="92"/>
      <c r="F225" s="93"/>
      <c r="G225" s="94"/>
      <c r="H225" s="87"/>
      <c r="I225" s="95"/>
      <c r="J225" s="105"/>
      <c r="K225" s="106"/>
    </row>
    <row r="226" spans="1:11" ht="14.1" customHeight="1">
      <c r="A226" s="78"/>
      <c r="B226" s="78" t="s">
        <v>406</v>
      </c>
      <c r="C226" s="78"/>
      <c r="D226" s="82"/>
      <c r="E226" s="83"/>
      <c r="F226" s="64"/>
      <c r="G226" s="67"/>
      <c r="H226" s="83"/>
      <c r="I226" s="67"/>
      <c r="J226" s="64"/>
      <c r="K226" s="83"/>
    </row>
    <row r="227" spans="1:11" ht="14.1" customHeight="1">
      <c r="A227" s="78"/>
      <c r="B227" s="78" t="s">
        <v>407</v>
      </c>
      <c r="C227" s="78"/>
      <c r="D227" s="91"/>
      <c r="E227" s="92"/>
      <c r="F227" s="93"/>
      <c r="G227" s="94"/>
      <c r="H227" s="87"/>
      <c r="I227" s="95"/>
      <c r="J227" s="96"/>
      <c r="K227" s="97"/>
    </row>
    <row r="228" spans="1:11" ht="14.1" customHeight="1">
      <c r="A228" s="78"/>
      <c r="B228" s="78" t="s">
        <v>408</v>
      </c>
      <c r="C228" s="78"/>
      <c r="D228" s="50"/>
      <c r="E228" s="50"/>
      <c r="F228" s="50"/>
      <c r="G228" s="50"/>
      <c r="H228" s="77"/>
      <c r="I228" s="50"/>
      <c r="J228" s="50"/>
      <c r="K228" s="50"/>
    </row>
    <row r="229" spans="1:11" ht="14.1" customHeight="1">
      <c r="A229" s="78"/>
      <c r="B229" s="78" t="s">
        <v>409</v>
      </c>
      <c r="C229" s="78"/>
      <c r="D229" s="103">
        <f>Mes!J223</f>
        <v>1</v>
      </c>
      <c r="E229" s="92" t="s">
        <v>17</v>
      </c>
      <c r="F229" s="93">
        <v>11477</v>
      </c>
      <c r="G229" s="94" t="s">
        <v>9</v>
      </c>
      <c r="H229" s="87">
        <v>40</v>
      </c>
      <c r="I229" s="95" t="s">
        <v>4</v>
      </c>
      <c r="J229" s="105">
        <f>IF(MID(I229,1,2)=("P."),(ROUND(D229*((F229)+(H229/100)),)),IF(MID(I229,1,2)=("%o"),(ROUND(D229*(((F229)+(H229/100))/1000),)),IF(MID(I229,1,2)=("Ea"),(ROUND(D229*((F229)+(H229/100)),)),ROUND(D229*(((F229)+(H229/100))/100),))))</f>
        <v>11477</v>
      </c>
      <c r="K229" s="106" t="s">
        <v>11</v>
      </c>
    </row>
    <row r="230" spans="1:11" ht="14.1" customHeight="1">
      <c r="A230" s="50"/>
      <c r="B230" s="185"/>
      <c r="C230" s="112"/>
      <c r="D230" s="261" t="s">
        <v>565</v>
      </c>
      <c r="E230" s="261"/>
      <c r="F230" s="261"/>
      <c r="G230" s="261"/>
      <c r="H230" s="261"/>
      <c r="I230" s="261"/>
      <c r="J230" s="261"/>
      <c r="K230" s="261"/>
    </row>
    <row r="231" spans="1:11" ht="14.1" customHeight="1">
      <c r="A231" s="186">
        <v>4</v>
      </c>
      <c r="B231" s="52" t="s">
        <v>410</v>
      </c>
    </row>
    <row r="232" spans="1:11" ht="14.1" customHeight="1">
      <c r="B232" s="52" t="s">
        <v>411</v>
      </c>
    </row>
    <row r="233" spans="1:11" ht="14.1" customHeight="1">
      <c r="B233" s="52" t="s">
        <v>412</v>
      </c>
    </row>
    <row r="234" spans="1:11" ht="14.1" customHeight="1">
      <c r="B234" s="52" t="s">
        <v>413</v>
      </c>
    </row>
    <row r="235" spans="1:11" ht="14.1" customHeight="1">
      <c r="B235" s="52" t="s">
        <v>414</v>
      </c>
    </row>
    <row r="236" spans="1:11" ht="14.1" customHeight="1">
      <c r="B236" s="52" t="s">
        <v>415</v>
      </c>
    </row>
    <row r="237" spans="1:11" ht="14.1" customHeight="1">
      <c r="B237" s="52" t="s">
        <v>416</v>
      </c>
    </row>
    <row r="238" spans="1:11" ht="14.1" customHeight="1">
      <c r="B238" s="52" t="s">
        <v>417</v>
      </c>
    </row>
    <row r="239" spans="1:11">
      <c r="B239" s="52" t="s">
        <v>418</v>
      </c>
    </row>
    <row r="240" spans="1:11">
      <c r="B240" s="52" t="s">
        <v>419</v>
      </c>
      <c r="D240" s="100">
        <f>Mes!J225</f>
        <v>2</v>
      </c>
      <c r="E240" s="92" t="s">
        <v>17</v>
      </c>
      <c r="F240" s="93">
        <v>4440</v>
      </c>
      <c r="G240" s="94" t="s">
        <v>9</v>
      </c>
      <c r="H240" s="87">
        <v>70</v>
      </c>
      <c r="I240" s="95" t="s">
        <v>4</v>
      </c>
      <c r="J240" s="96">
        <f>IF(MID(I240,1,2)=("P."),(ROUND(D240*((F240)+(H240/100)),)),IF(MID(I240,1,2)=("%o"),(ROUND(D240*(((F240)+(H240/100))/1000),)),IF(MID(I240,1,2)=("Ea"),(ROUND(D240*((F240)+(H240/100)),)),ROUND(D240*(((F240)+(H240/100))/100),))))</f>
        <v>8881</v>
      </c>
      <c r="K240" s="97" t="s">
        <v>11</v>
      </c>
    </row>
    <row r="241" spans="1:11">
      <c r="A241" s="50"/>
      <c r="B241" s="185"/>
      <c r="C241" s="112"/>
      <c r="D241" s="262" t="s">
        <v>566</v>
      </c>
      <c r="E241" s="262"/>
      <c r="F241" s="262"/>
      <c r="G241" s="262"/>
      <c r="H241" s="262"/>
      <c r="I241" s="262"/>
      <c r="J241" s="262"/>
      <c r="K241" s="262"/>
    </row>
    <row r="242" spans="1:11">
      <c r="A242" s="50">
        <v>5</v>
      </c>
      <c r="B242" s="85" t="s">
        <v>98</v>
      </c>
      <c r="C242" s="86"/>
      <c r="D242" s="103"/>
      <c r="E242" s="92"/>
      <c r="F242" s="93"/>
      <c r="G242" s="94"/>
      <c r="H242" s="87"/>
      <c r="I242" s="95"/>
      <c r="J242" s="105"/>
      <c r="K242" s="106"/>
    </row>
    <row r="243" spans="1:11">
      <c r="A243" s="50"/>
      <c r="B243" s="85" t="s">
        <v>99</v>
      </c>
      <c r="C243" s="86"/>
      <c r="D243" s="103"/>
      <c r="E243" s="52"/>
      <c r="F243" s="52"/>
      <c r="G243" s="52"/>
      <c r="H243" s="52"/>
      <c r="I243" s="52"/>
      <c r="J243" s="52"/>
      <c r="K243" s="52"/>
    </row>
    <row r="244" spans="1:11">
      <c r="A244" s="50"/>
      <c r="B244" s="85" t="s">
        <v>100</v>
      </c>
      <c r="C244" s="86"/>
      <c r="D244" s="103">
        <f>Mes!J228</f>
        <v>6</v>
      </c>
      <c r="E244" s="92" t="s">
        <v>17</v>
      </c>
      <c r="F244" s="93">
        <v>889</v>
      </c>
      <c r="G244" s="94" t="s">
        <v>9</v>
      </c>
      <c r="H244" s="87">
        <v>46</v>
      </c>
      <c r="I244" s="95" t="s">
        <v>4</v>
      </c>
      <c r="J244" s="96">
        <f>IF(MID(I244,1,2)=("P."),(ROUND(D244*((F244)+(H244/100)),)),IF(MID(I244,1,2)=("%o"),(ROUND(D244*(((F244)+(H244/100))/1000),)),IF(MID(I244,1,2)=("Ea"),(ROUND(D244*((F244)+(H244/100)),)),ROUND(D244*(((F244)+(H244/100))/100),))))</f>
        <v>5337</v>
      </c>
      <c r="K244" s="97" t="s">
        <v>11</v>
      </c>
    </row>
    <row r="245" spans="1:11">
      <c r="A245" s="50"/>
      <c r="B245" s="185"/>
      <c r="C245" s="112"/>
      <c r="D245" s="258" t="s">
        <v>567</v>
      </c>
      <c r="E245" s="258"/>
      <c r="F245" s="258"/>
      <c r="G245" s="258"/>
      <c r="H245" s="258"/>
      <c r="I245" s="258"/>
      <c r="J245" s="258"/>
      <c r="K245" s="258"/>
    </row>
    <row r="246" spans="1:11">
      <c r="A246" s="60">
        <v>6</v>
      </c>
      <c r="B246" s="78" t="s">
        <v>165</v>
      </c>
      <c r="C246" s="78"/>
      <c r="D246" s="103"/>
      <c r="E246" s="92"/>
      <c r="F246" s="93"/>
      <c r="G246" s="94"/>
      <c r="H246" s="87"/>
      <c r="I246" s="95"/>
      <c r="J246" s="105"/>
      <c r="K246" s="106"/>
    </row>
    <row r="247" spans="1:11">
      <c r="A247" s="60"/>
      <c r="B247" s="78" t="s">
        <v>166</v>
      </c>
      <c r="C247" s="50"/>
      <c r="D247" s="103"/>
      <c r="E247" s="92"/>
      <c r="F247" s="93"/>
      <c r="G247" s="94"/>
      <c r="H247" s="87"/>
      <c r="I247" s="95"/>
      <c r="J247" s="105"/>
      <c r="K247" s="106"/>
    </row>
    <row r="248" spans="1:11">
      <c r="A248" s="60"/>
      <c r="B248" s="78" t="s">
        <v>167</v>
      </c>
      <c r="C248" s="50"/>
      <c r="D248" s="103">
        <f>Mes!J230</f>
        <v>4</v>
      </c>
      <c r="E248" s="92" t="s">
        <v>17</v>
      </c>
      <c r="F248" s="93">
        <v>3432</v>
      </c>
      <c r="G248" s="94" t="s">
        <v>9</v>
      </c>
      <c r="H248" s="87">
        <v>0</v>
      </c>
      <c r="I248" s="95" t="s">
        <v>4</v>
      </c>
      <c r="J248" s="105">
        <f>IF(MID(I248,1,2)=("P."),(ROUND(D248*((F248)+(H248/100)),)),IF(MID(I248,1,2)=("%o"),(ROUND(D248*(((F248)+(H248/100))/1000),)),IF(MID(I248,1,2)=("Ea"),(ROUND(D248*((F248)+(H248/100)),)),ROUND(D248*(((F248)+(H248/100))/100),))))</f>
        <v>13728</v>
      </c>
      <c r="K248" s="106" t="s">
        <v>11</v>
      </c>
    </row>
    <row r="249" spans="1:11">
      <c r="A249" s="50"/>
      <c r="B249" s="185"/>
      <c r="C249" s="112"/>
      <c r="D249" s="258" t="s">
        <v>568</v>
      </c>
      <c r="E249" s="258"/>
      <c r="F249" s="258"/>
      <c r="G249" s="258"/>
      <c r="H249" s="258"/>
      <c r="I249" s="258"/>
      <c r="J249" s="258"/>
      <c r="K249" s="258"/>
    </row>
    <row r="250" spans="1:11">
      <c r="A250" s="186">
        <v>7</v>
      </c>
      <c r="B250" s="52" t="s">
        <v>420</v>
      </c>
    </row>
    <row r="251" spans="1:11">
      <c r="A251" s="186"/>
      <c r="B251" s="52" t="s">
        <v>421</v>
      </c>
      <c r="D251" s="103">
        <f>Mes!J233</f>
        <v>2</v>
      </c>
      <c r="E251" s="92" t="s">
        <v>17</v>
      </c>
      <c r="F251" s="93">
        <v>795</v>
      </c>
      <c r="G251" s="94" t="s">
        <v>9</v>
      </c>
      <c r="H251" s="87">
        <v>30</v>
      </c>
      <c r="I251" s="95" t="s">
        <v>4</v>
      </c>
      <c r="J251" s="105">
        <f>IF(MID(I251,1,2)=("P."),(ROUND(D251*((F251)+(H251/100)),)),IF(MID(I251,1,2)=("%o"),(ROUND(D251*(((F251)+(H251/100))/1000),)),IF(MID(I251,1,2)=("Ea"),(ROUND(D251*((F251)+(H251/100)),)),ROUND(D251*(((F251)+(H251/100))/100),))))</f>
        <v>1591</v>
      </c>
      <c r="K251" s="106" t="s">
        <v>11</v>
      </c>
    </row>
    <row r="252" spans="1:11">
      <c r="A252" s="50"/>
      <c r="B252" s="185"/>
      <c r="C252" s="112"/>
      <c r="D252" s="258" t="s">
        <v>569</v>
      </c>
      <c r="E252" s="258"/>
      <c r="F252" s="258"/>
      <c r="G252" s="258"/>
      <c r="H252" s="258"/>
      <c r="I252" s="258"/>
      <c r="J252" s="258"/>
      <c r="K252" s="258"/>
    </row>
    <row r="253" spans="1:11">
      <c r="A253" s="50">
        <v>8</v>
      </c>
      <c r="B253" s="85" t="s">
        <v>148</v>
      </c>
      <c r="C253" s="50"/>
      <c r="D253" s="103"/>
      <c r="E253" s="92"/>
      <c r="F253" s="93"/>
      <c r="G253" s="94"/>
      <c r="H253" s="87"/>
      <c r="I253" s="95"/>
      <c r="J253" s="105"/>
      <c r="K253" s="106"/>
    </row>
    <row r="254" spans="1:11">
      <c r="A254" s="50"/>
      <c r="B254" s="85" t="s">
        <v>149</v>
      </c>
      <c r="C254" s="50"/>
      <c r="D254" s="103"/>
      <c r="E254" s="92"/>
      <c r="F254" s="93"/>
      <c r="G254" s="94"/>
      <c r="H254" s="87"/>
      <c r="I254" s="95"/>
      <c r="J254" s="105"/>
      <c r="K254" s="106"/>
    </row>
    <row r="255" spans="1:11">
      <c r="A255" s="50"/>
      <c r="B255" s="85" t="s">
        <v>150</v>
      </c>
      <c r="C255" s="50"/>
      <c r="D255" s="103"/>
      <c r="E255" s="92"/>
      <c r="F255" s="93"/>
      <c r="G255" s="94"/>
      <c r="H255" s="87"/>
      <c r="I255" s="95"/>
      <c r="J255" s="105"/>
      <c r="K255" s="106"/>
    </row>
    <row r="256" spans="1:11">
      <c r="A256" s="50"/>
      <c r="B256" s="85" t="s">
        <v>151</v>
      </c>
      <c r="C256" s="50"/>
      <c r="D256" s="103"/>
      <c r="E256" s="92"/>
      <c r="F256" s="93"/>
      <c r="G256" s="94"/>
      <c r="H256" s="87"/>
      <c r="I256" s="95"/>
      <c r="J256" s="105"/>
      <c r="K256" s="106"/>
    </row>
    <row r="257" spans="1:11">
      <c r="A257" s="50"/>
      <c r="B257" s="85" t="s">
        <v>152</v>
      </c>
      <c r="C257" s="50"/>
      <c r="D257" s="103"/>
      <c r="E257" s="92"/>
      <c r="F257" s="93"/>
      <c r="G257" s="94"/>
      <c r="H257" s="87"/>
      <c r="I257" s="95"/>
      <c r="J257" s="105"/>
      <c r="K257" s="106"/>
    </row>
    <row r="258" spans="1:11">
      <c r="A258" s="50"/>
      <c r="B258" s="85" t="s">
        <v>153</v>
      </c>
      <c r="C258" s="50"/>
      <c r="D258" s="103"/>
      <c r="E258" s="92"/>
      <c r="F258" s="93"/>
      <c r="G258" s="94"/>
      <c r="H258" s="87"/>
      <c r="I258" s="95"/>
      <c r="J258" s="105"/>
      <c r="K258" s="106"/>
    </row>
    <row r="259" spans="1:11">
      <c r="A259" s="60"/>
      <c r="B259" s="85" t="s">
        <v>154</v>
      </c>
      <c r="C259" s="50"/>
      <c r="D259" s="103"/>
      <c r="E259" s="52"/>
      <c r="F259" s="52"/>
      <c r="G259" s="52"/>
      <c r="H259" s="92"/>
      <c r="I259" s="52"/>
      <c r="J259" s="52"/>
      <c r="K259" s="52"/>
    </row>
    <row r="260" spans="1:11">
      <c r="A260" s="60"/>
      <c r="B260" s="78" t="s">
        <v>155</v>
      </c>
      <c r="C260" s="78"/>
      <c r="D260" s="103">
        <v>2</v>
      </c>
      <c r="E260" s="92" t="s">
        <v>17</v>
      </c>
      <c r="F260" s="93">
        <v>2042</v>
      </c>
      <c r="G260" s="94" t="s">
        <v>9</v>
      </c>
      <c r="H260" s="87">
        <v>43</v>
      </c>
      <c r="I260" s="95" t="s">
        <v>4</v>
      </c>
      <c r="J260" s="105">
        <f>IF(MID(I260,1,2)=("P."),(ROUND(D260*((F260)+(H260/100)),)),IF(MID(I260,1,2)=("%o"),(ROUND(D260*(((F260)+(H260/100))/1000),)),IF(MID(I260,1,2)=("Ea"),(ROUND(D260*((F260)+(H260/100)),)),ROUND(D260*(((F260)+(H260/100))/100),))))</f>
        <v>4085</v>
      </c>
      <c r="K260" s="106" t="s">
        <v>11</v>
      </c>
    </row>
    <row r="261" spans="1:11" ht="15.75" customHeight="1">
      <c r="A261" s="50"/>
      <c r="B261" s="185"/>
      <c r="C261" s="112"/>
      <c r="D261" s="258" t="s">
        <v>570</v>
      </c>
      <c r="E261" s="258"/>
      <c r="F261" s="258"/>
      <c r="G261" s="258"/>
      <c r="H261" s="258"/>
      <c r="I261" s="258"/>
      <c r="J261" s="258"/>
      <c r="K261" s="258"/>
    </row>
    <row r="262" spans="1:11" ht="15.75" customHeight="1">
      <c r="A262" s="60">
        <v>9</v>
      </c>
      <c r="B262" s="85" t="s">
        <v>22</v>
      </c>
      <c r="C262" s="50"/>
      <c r="D262" s="50"/>
      <c r="E262" s="52"/>
      <c r="F262" s="52"/>
      <c r="G262" s="52"/>
      <c r="H262" s="92"/>
      <c r="I262" s="52"/>
      <c r="J262" s="52"/>
      <c r="K262" s="52"/>
    </row>
    <row r="263" spans="1:11" ht="15.75" customHeight="1">
      <c r="A263" s="60"/>
      <c r="B263" s="85" t="s">
        <v>23</v>
      </c>
      <c r="C263" s="50"/>
      <c r="D263" s="103">
        <f>Mes!J239</f>
        <v>4</v>
      </c>
      <c r="E263" s="92" t="s">
        <v>3</v>
      </c>
      <c r="F263" s="93">
        <v>1109</v>
      </c>
      <c r="G263" s="94" t="s">
        <v>9</v>
      </c>
      <c r="H263" s="87">
        <v>46</v>
      </c>
      <c r="I263" s="95" t="s">
        <v>4</v>
      </c>
      <c r="J263" s="96">
        <f>IF(MID(I263,1,2)=("P."),(ROUND(D263*((F263)+(H263/100)),)),IF(MID(I263,1,2)=("%o"),(ROUND(D263*(((F263)+(H263/100))/1000),)),IF(MID(I263,1,2)=("Ea"),(ROUND(D263*((F263)+(H263/100)),)),ROUND(D263*(((F263)+(H263/100))/100),))))</f>
        <v>4438</v>
      </c>
      <c r="K263" s="97" t="s">
        <v>11</v>
      </c>
    </row>
    <row r="264" spans="1:11" ht="15" customHeight="1">
      <c r="A264" s="50"/>
      <c r="B264" s="185"/>
      <c r="C264" s="112"/>
      <c r="D264" s="258" t="s">
        <v>571</v>
      </c>
      <c r="E264" s="258"/>
      <c r="F264" s="258"/>
      <c r="G264" s="258"/>
      <c r="H264" s="258"/>
      <c r="I264" s="258"/>
      <c r="J264" s="258"/>
      <c r="K264" s="258"/>
    </row>
    <row r="265" spans="1:11" ht="15" customHeight="1">
      <c r="A265" s="60">
        <v>10</v>
      </c>
      <c r="B265" s="52" t="s">
        <v>168</v>
      </c>
      <c r="C265" s="78"/>
      <c r="D265" s="103"/>
      <c r="E265" s="92"/>
      <c r="F265" s="93"/>
      <c r="G265" s="94"/>
      <c r="H265" s="87"/>
      <c r="I265" s="95"/>
      <c r="J265" s="96"/>
      <c r="K265" s="97"/>
    </row>
    <row r="266" spans="1:11" ht="15" customHeight="1">
      <c r="A266" s="60"/>
      <c r="B266" s="52" t="s">
        <v>169</v>
      </c>
      <c r="C266" s="78"/>
      <c r="D266" s="103"/>
      <c r="E266" s="92"/>
      <c r="F266" s="93"/>
      <c r="G266" s="94"/>
      <c r="H266" s="87"/>
      <c r="I266" s="95"/>
      <c r="J266" s="96"/>
      <c r="K266" s="97"/>
    </row>
    <row r="267" spans="1:11" ht="15" customHeight="1">
      <c r="A267" s="60"/>
      <c r="B267" s="52" t="s">
        <v>170</v>
      </c>
      <c r="C267" s="78"/>
      <c r="D267" s="103"/>
      <c r="E267" s="92"/>
      <c r="F267" s="93"/>
      <c r="G267" s="94"/>
      <c r="H267" s="87"/>
      <c r="I267" s="95"/>
      <c r="J267" s="96"/>
      <c r="K267" s="97"/>
    </row>
    <row r="268" spans="1:11" ht="15" customHeight="1">
      <c r="A268" s="60"/>
      <c r="B268" s="78" t="s">
        <v>171</v>
      </c>
      <c r="C268" s="78"/>
      <c r="D268" s="103"/>
      <c r="E268" s="92"/>
      <c r="F268" s="93"/>
      <c r="G268" s="94"/>
      <c r="H268" s="87"/>
      <c r="I268" s="95"/>
      <c r="J268" s="96"/>
      <c r="K268" s="97"/>
    </row>
    <row r="269" spans="1:11" ht="15" customHeight="1">
      <c r="A269" s="60"/>
      <c r="B269" s="52" t="s">
        <v>172</v>
      </c>
      <c r="C269" s="78"/>
      <c r="D269" s="103">
        <v>3</v>
      </c>
      <c r="E269" s="92" t="s">
        <v>17</v>
      </c>
      <c r="F269" s="93">
        <v>10322</v>
      </c>
      <c r="G269" s="94" t="s">
        <v>9</v>
      </c>
      <c r="H269" s="87">
        <v>40</v>
      </c>
      <c r="I269" s="95" t="s">
        <v>4</v>
      </c>
      <c r="J269" s="96">
        <f>IF(MID(I269,1,2)=("P."),(ROUND(D269*((F269)+(H269/100)),)),IF(MID(I269,1,2)=("%o"),(ROUND(D269*(((F269)+(H269/100))/1000),)),IF(MID(I269,1,2)=("Ea"),(ROUND(D269*((F269)+(H269/100)),)),ROUND(D269*(((F269)+(H269/100))/100),))))</f>
        <v>30967</v>
      </c>
      <c r="K269" s="97" t="s">
        <v>11</v>
      </c>
    </row>
    <row r="270" spans="1:11" ht="15" customHeight="1">
      <c r="A270" s="50"/>
      <c r="B270" s="185"/>
      <c r="C270" s="112"/>
      <c r="D270" s="229" t="s">
        <v>572</v>
      </c>
      <c r="E270" s="229"/>
      <c r="F270" s="229"/>
      <c r="G270" s="229"/>
      <c r="H270" s="229"/>
      <c r="I270" s="229"/>
      <c r="J270" s="229"/>
      <c r="K270" s="229"/>
    </row>
    <row r="271" spans="1:11" ht="15" customHeight="1">
      <c r="A271" s="186">
        <v>11</v>
      </c>
      <c r="B271" s="52" t="s">
        <v>422</v>
      </c>
    </row>
    <row r="272" spans="1:11" ht="15" customHeight="1">
      <c r="A272" s="50"/>
      <c r="B272" s="85" t="s">
        <v>423</v>
      </c>
      <c r="C272" s="50"/>
      <c r="D272" s="103"/>
      <c r="E272" s="92"/>
      <c r="F272" s="93"/>
      <c r="G272" s="94"/>
      <c r="H272" s="87"/>
      <c r="I272" s="95"/>
      <c r="J272" s="105"/>
      <c r="K272" s="106"/>
    </row>
    <row r="273" spans="1:11" ht="15" customHeight="1">
      <c r="B273" s="52" t="s">
        <v>424</v>
      </c>
    </row>
    <row r="274" spans="1:11" ht="15" customHeight="1">
      <c r="B274" s="52" t="s">
        <v>425</v>
      </c>
    </row>
    <row r="275" spans="1:11" ht="15" customHeight="1">
      <c r="B275" s="52" t="s">
        <v>426</v>
      </c>
    </row>
    <row r="276" spans="1:11" ht="15" customHeight="1">
      <c r="A276" s="50"/>
      <c r="B276" s="85" t="s">
        <v>427</v>
      </c>
      <c r="C276" s="86"/>
      <c r="D276" s="103"/>
      <c r="E276" s="92"/>
      <c r="F276" s="93"/>
      <c r="G276" s="94"/>
      <c r="H276" s="87"/>
      <c r="I276" s="95"/>
      <c r="J276" s="96"/>
      <c r="K276" s="97"/>
    </row>
    <row r="277" spans="1:11" ht="15" customHeight="1">
      <c r="B277" s="52" t="s">
        <v>428</v>
      </c>
      <c r="D277" s="103">
        <f>Mes!J245</f>
        <v>1</v>
      </c>
      <c r="E277" s="92" t="s">
        <v>17</v>
      </c>
      <c r="F277" s="93">
        <v>5052</v>
      </c>
      <c r="G277" s="94" t="s">
        <v>9</v>
      </c>
      <c r="H277" s="87">
        <v>30</v>
      </c>
      <c r="I277" s="95" t="s">
        <v>4</v>
      </c>
      <c r="J277" s="96">
        <f>IF(MID(I277,1,2)=("P."),(ROUND(D277*((F277)+(H277/100)),)),IF(MID(I277,1,2)=("%o"),(ROUND(D277*(((F277)+(H277/100))/1000),)),IF(MID(I277,1,2)=("Ea"),(ROUND(D277*((F277)+(H277/100)),)),ROUND(D277*(((F277)+(H277/100))/100),))))</f>
        <v>5052</v>
      </c>
      <c r="K277" s="97" t="s">
        <v>11</v>
      </c>
    </row>
    <row r="278" spans="1:11" ht="15" customHeight="1">
      <c r="B278" s="52"/>
      <c r="D278" s="263" t="s">
        <v>573</v>
      </c>
      <c r="E278" s="263"/>
      <c r="F278" s="263"/>
      <c r="G278" s="263"/>
      <c r="H278" s="263"/>
      <c r="I278" s="263"/>
      <c r="J278" s="263"/>
      <c r="K278" s="263"/>
    </row>
    <row r="279" spans="1:11" ht="15" customHeight="1">
      <c r="B279" s="52"/>
      <c r="D279" s="220"/>
      <c r="E279" s="220"/>
      <c r="F279" s="220"/>
      <c r="G279" s="220"/>
      <c r="H279" s="220"/>
      <c r="I279" s="220"/>
      <c r="J279" s="220"/>
      <c r="K279" s="220"/>
    </row>
    <row r="280" spans="1:11">
      <c r="A280" s="50"/>
      <c r="B280" s="185"/>
      <c r="C280" s="112"/>
      <c r="D280" s="62"/>
      <c r="E280" s="86"/>
      <c r="F280" s="86"/>
      <c r="G280" s="86"/>
      <c r="H280" s="87" t="s">
        <v>325</v>
      </c>
      <c r="I280" s="88"/>
      <c r="J280" s="111">
        <f>SUM(J210:J277)</f>
        <v>95572</v>
      </c>
      <c r="K280" s="97" t="s">
        <v>11</v>
      </c>
    </row>
    <row r="281" spans="1:11">
      <c r="A281" s="50"/>
      <c r="B281" s="185"/>
      <c r="C281" s="112"/>
      <c r="D281" s="62"/>
      <c r="E281" s="86"/>
      <c r="F281" s="86" t="s">
        <v>574</v>
      </c>
      <c r="G281" s="86"/>
      <c r="H281" s="87"/>
      <c r="I281" s="88"/>
      <c r="J281" s="111"/>
      <c r="K281" s="97" t="s">
        <v>11</v>
      </c>
    </row>
    <row r="282" spans="1:11">
      <c r="A282" s="50"/>
      <c r="B282" s="185"/>
      <c r="C282" s="112"/>
      <c r="D282" s="62"/>
      <c r="E282" s="86"/>
      <c r="F282" s="86"/>
      <c r="G282" s="86"/>
      <c r="H282" s="87" t="s">
        <v>325</v>
      </c>
      <c r="I282" s="88"/>
      <c r="J282" s="111"/>
      <c r="K282" s="97" t="s">
        <v>11</v>
      </c>
    </row>
    <row r="283" spans="1:11">
      <c r="A283" s="109"/>
      <c r="B283" s="48" t="s">
        <v>118</v>
      </c>
      <c r="C283" s="78"/>
      <c r="D283" s="108"/>
      <c r="E283" s="83"/>
      <c r="F283" s="64"/>
      <c r="G283" s="99"/>
      <c r="H283" s="66"/>
      <c r="I283" s="67"/>
      <c r="J283" s="68"/>
      <c r="K283" s="69"/>
    </row>
    <row r="284" spans="1:11">
      <c r="A284" s="60">
        <v>1</v>
      </c>
      <c r="B284" s="78" t="s">
        <v>156</v>
      </c>
      <c r="C284" s="78"/>
      <c r="D284" s="91"/>
      <c r="E284" s="83"/>
      <c r="F284" s="64"/>
      <c r="G284" s="99"/>
      <c r="H284" s="66"/>
      <c r="I284" s="67"/>
      <c r="J284" s="68"/>
      <c r="K284" s="69"/>
    </row>
    <row r="285" spans="1:11">
      <c r="A285" s="78"/>
      <c r="B285" s="78" t="s">
        <v>101</v>
      </c>
      <c r="C285" s="78"/>
      <c r="D285" s="91"/>
      <c r="E285" s="83"/>
      <c r="F285" s="64"/>
      <c r="G285" s="99"/>
      <c r="H285" s="66"/>
      <c r="I285" s="67"/>
      <c r="J285" s="68"/>
      <c r="K285" s="69"/>
    </row>
    <row r="286" spans="1:11">
      <c r="A286" s="78"/>
      <c r="B286" s="78" t="s">
        <v>102</v>
      </c>
      <c r="C286" s="78"/>
      <c r="D286" s="91"/>
      <c r="E286" s="83"/>
      <c r="F286" s="64"/>
      <c r="G286" s="99"/>
      <c r="H286" s="66"/>
      <c r="I286" s="67"/>
      <c r="J286" s="68"/>
      <c r="K286" s="69"/>
    </row>
    <row r="287" spans="1:11">
      <c r="A287" s="78"/>
      <c r="B287" s="78" t="s">
        <v>103</v>
      </c>
      <c r="C287" s="78"/>
      <c r="D287" s="91"/>
      <c r="E287" s="78"/>
      <c r="F287" s="78"/>
      <c r="G287" s="78"/>
      <c r="H287" s="78"/>
      <c r="I287" s="78"/>
      <c r="J287" s="78"/>
      <c r="K287" s="78"/>
    </row>
    <row r="288" spans="1:11">
      <c r="A288" s="60"/>
      <c r="B288" s="78" t="s">
        <v>104</v>
      </c>
      <c r="C288" s="78"/>
      <c r="D288" s="78"/>
      <c r="E288" s="52"/>
      <c r="F288" s="52"/>
      <c r="G288" s="52"/>
      <c r="H288" s="92"/>
      <c r="I288" s="52"/>
      <c r="J288" s="52"/>
      <c r="K288" s="52"/>
    </row>
    <row r="289" spans="1:11">
      <c r="A289" s="60"/>
      <c r="B289" s="78" t="s">
        <v>130</v>
      </c>
      <c r="C289" s="78"/>
      <c r="D289" s="100">
        <f>Mes!J248</f>
        <v>144</v>
      </c>
      <c r="E289" s="92" t="s">
        <v>24</v>
      </c>
      <c r="F289" s="93"/>
      <c r="G289" s="94"/>
      <c r="H289" s="87"/>
      <c r="I289" s="95" t="s">
        <v>106</v>
      </c>
      <c r="J289" s="96"/>
      <c r="K289" s="97"/>
    </row>
    <row r="290" spans="1:11">
      <c r="A290" s="60"/>
      <c r="B290" s="78" t="s">
        <v>163</v>
      </c>
      <c r="C290" s="78"/>
      <c r="D290" s="100">
        <f>Mes!J250</f>
        <v>80</v>
      </c>
      <c r="E290" s="92" t="s">
        <v>24</v>
      </c>
      <c r="F290" s="93"/>
      <c r="G290" s="94"/>
      <c r="H290" s="87"/>
      <c r="I290" s="95" t="s">
        <v>106</v>
      </c>
      <c r="J290" s="96"/>
      <c r="K290" s="97"/>
    </row>
    <row r="291" spans="1:11">
      <c r="A291" s="60"/>
      <c r="B291" s="78" t="s">
        <v>252</v>
      </c>
      <c r="C291" s="78"/>
      <c r="D291" s="100">
        <f>Mes!J252</f>
        <v>100</v>
      </c>
      <c r="E291" s="92" t="s">
        <v>24</v>
      </c>
      <c r="F291" s="93"/>
      <c r="G291" s="94"/>
      <c r="H291" s="87"/>
      <c r="I291" s="95" t="s">
        <v>106</v>
      </c>
      <c r="J291" s="96"/>
      <c r="K291" s="97"/>
    </row>
    <row r="292" spans="1:11">
      <c r="A292" s="60"/>
      <c r="B292" s="78" t="s">
        <v>105</v>
      </c>
      <c r="C292" s="78"/>
      <c r="D292" s="100">
        <f>Mes!J254</f>
        <v>70</v>
      </c>
      <c r="E292" s="92" t="s">
        <v>24</v>
      </c>
      <c r="F292" s="93"/>
      <c r="G292" s="94"/>
      <c r="H292" s="87"/>
      <c r="I292" s="95" t="s">
        <v>106</v>
      </c>
      <c r="J292" s="96"/>
      <c r="K292" s="97"/>
    </row>
    <row r="293" spans="1:11">
      <c r="A293" s="60"/>
      <c r="B293" s="78"/>
      <c r="C293" s="78"/>
      <c r="D293" s="100"/>
      <c r="E293" s="92"/>
      <c r="F293" s="93"/>
      <c r="G293" s="94"/>
      <c r="H293" s="87"/>
      <c r="I293" s="95"/>
      <c r="J293" s="96"/>
      <c r="K293" s="97"/>
    </row>
    <row r="294" spans="1:11">
      <c r="A294" s="60">
        <v>2</v>
      </c>
      <c r="B294" s="78" t="s">
        <v>107</v>
      </c>
      <c r="C294" s="78"/>
      <c r="D294" s="91"/>
      <c r="E294" s="83"/>
      <c r="F294" s="64"/>
      <c r="G294" s="99"/>
      <c r="H294" s="66"/>
      <c r="I294" s="67"/>
      <c r="J294" s="68"/>
      <c r="K294" s="97"/>
    </row>
    <row r="295" spans="1:11">
      <c r="A295" s="78"/>
      <c r="B295" s="78" t="s">
        <v>108</v>
      </c>
      <c r="C295" s="78"/>
      <c r="D295" s="91"/>
      <c r="E295" s="83"/>
      <c r="F295" s="64"/>
      <c r="G295" s="99"/>
      <c r="H295" s="66"/>
      <c r="I295" s="67"/>
      <c r="J295" s="68"/>
      <c r="K295" s="97"/>
    </row>
    <row r="296" spans="1:11">
      <c r="A296" s="78"/>
      <c r="B296" s="78" t="s">
        <v>109</v>
      </c>
      <c r="C296" s="78"/>
      <c r="D296" s="91"/>
      <c r="E296" s="83"/>
      <c r="F296" s="64"/>
      <c r="G296" s="99"/>
      <c r="H296" s="66"/>
      <c r="I296" s="67"/>
      <c r="J296" s="68"/>
      <c r="K296" s="97"/>
    </row>
    <row r="297" spans="1:11">
      <c r="A297" s="78"/>
      <c r="B297" s="78" t="s">
        <v>110</v>
      </c>
      <c r="C297" s="78"/>
      <c r="D297" s="91"/>
      <c r="E297" s="83"/>
      <c r="F297" s="64"/>
      <c r="G297" s="99"/>
      <c r="H297" s="66"/>
      <c r="I297" s="67"/>
      <c r="J297" s="68"/>
      <c r="K297" s="97"/>
    </row>
    <row r="298" spans="1:11">
      <c r="A298" s="60"/>
      <c r="B298" s="78" t="s">
        <v>77</v>
      </c>
      <c r="C298" s="78"/>
      <c r="D298" s="91"/>
      <c r="E298" s="83"/>
      <c r="F298" s="64"/>
      <c r="G298" s="99"/>
      <c r="H298" s="66"/>
      <c r="I298" s="67"/>
      <c r="J298" s="68"/>
      <c r="K298" s="97"/>
    </row>
    <row r="299" spans="1:11">
      <c r="A299" s="60"/>
      <c r="B299" s="78" t="s">
        <v>78</v>
      </c>
      <c r="C299" s="78"/>
      <c r="D299" s="91"/>
      <c r="E299" s="78"/>
      <c r="F299" s="78"/>
      <c r="G299" s="78"/>
      <c r="H299" s="78"/>
      <c r="I299" s="78"/>
      <c r="J299" s="78"/>
      <c r="K299" s="78"/>
    </row>
    <row r="300" spans="1:11">
      <c r="A300" s="60"/>
      <c r="B300" s="78" t="s">
        <v>71</v>
      </c>
      <c r="C300" s="78"/>
      <c r="D300" s="78"/>
      <c r="E300" s="52"/>
      <c r="F300" s="52"/>
      <c r="G300" s="52"/>
      <c r="H300" s="92"/>
      <c r="I300" s="52"/>
      <c r="J300" s="52"/>
      <c r="K300" s="52"/>
    </row>
    <row r="301" spans="1:11">
      <c r="A301" s="60"/>
      <c r="B301" s="78" t="s">
        <v>111</v>
      </c>
      <c r="C301" s="78"/>
      <c r="D301" s="103">
        <f>Mes!J257</f>
        <v>4</v>
      </c>
      <c r="E301" s="92" t="s">
        <v>17</v>
      </c>
      <c r="F301" s="93"/>
      <c r="G301" s="94"/>
      <c r="H301" s="87"/>
      <c r="I301" s="95" t="s">
        <v>4</v>
      </c>
      <c r="J301" s="96"/>
      <c r="K301" s="97"/>
    </row>
    <row r="302" spans="1:11">
      <c r="A302" s="60"/>
      <c r="B302" s="78" t="s">
        <v>75</v>
      </c>
      <c r="C302" s="78"/>
      <c r="D302" s="103">
        <f>Mes!J258</f>
        <v>3</v>
      </c>
      <c r="E302" s="92" t="s">
        <v>17</v>
      </c>
      <c r="F302" s="93"/>
      <c r="G302" s="94"/>
      <c r="H302" s="87"/>
      <c r="I302" s="95" t="s">
        <v>4</v>
      </c>
      <c r="J302" s="96"/>
      <c r="K302" s="97"/>
    </row>
    <row r="303" spans="1:11">
      <c r="A303" s="60"/>
      <c r="B303" s="78" t="s">
        <v>429</v>
      </c>
      <c r="C303" s="78"/>
      <c r="D303" s="103">
        <f>Mes!J259</f>
        <v>4</v>
      </c>
      <c r="E303" s="92" t="s">
        <v>17</v>
      </c>
      <c r="F303" s="93"/>
      <c r="G303" s="94"/>
      <c r="H303" s="87"/>
      <c r="I303" s="95" t="s">
        <v>4</v>
      </c>
      <c r="J303" s="96"/>
      <c r="K303" s="97"/>
    </row>
    <row r="304" spans="1:11">
      <c r="A304" s="60"/>
      <c r="B304" s="78" t="s">
        <v>112</v>
      </c>
      <c r="C304" s="78"/>
      <c r="D304" s="103">
        <f>Mes!J260</f>
        <v>2</v>
      </c>
      <c r="E304" s="92" t="s">
        <v>17</v>
      </c>
      <c r="F304" s="93"/>
      <c r="G304" s="94"/>
      <c r="H304" s="87"/>
      <c r="I304" s="95" t="s">
        <v>4</v>
      </c>
      <c r="J304" s="96"/>
      <c r="K304" s="97"/>
    </row>
    <row r="305" spans="1:11">
      <c r="A305" s="60"/>
      <c r="B305" s="78"/>
      <c r="C305" s="78"/>
      <c r="D305" s="83" t="s">
        <v>119</v>
      </c>
      <c r="E305" s="83"/>
      <c r="F305" s="52"/>
      <c r="G305" s="99"/>
      <c r="H305" s="66"/>
      <c r="I305" s="67"/>
      <c r="J305" s="107"/>
      <c r="K305" s="97"/>
    </row>
    <row r="306" spans="1:11">
      <c r="A306" s="60"/>
      <c r="B306" s="78"/>
      <c r="C306" s="78"/>
      <c r="D306" s="83"/>
      <c r="E306" s="83"/>
      <c r="F306" s="52"/>
      <c r="G306" s="99"/>
      <c r="H306" s="66"/>
      <c r="I306" s="67"/>
      <c r="J306" s="230"/>
      <c r="K306" s="97"/>
    </row>
    <row r="307" spans="1:11" ht="15.75" thickBot="1">
      <c r="A307" s="60"/>
      <c r="B307" s="78"/>
      <c r="C307" s="78"/>
      <c r="D307" s="83"/>
      <c r="E307" s="83"/>
      <c r="F307" s="52"/>
      <c r="G307" s="99"/>
      <c r="H307" s="66"/>
      <c r="I307" s="67"/>
      <c r="J307" s="230"/>
      <c r="K307" s="97"/>
    </row>
    <row r="308" spans="1:11" ht="15" customHeight="1" thickBot="1">
      <c r="A308" s="60"/>
      <c r="B308" s="78"/>
      <c r="C308" s="221" t="s">
        <v>517</v>
      </c>
      <c r="D308" s="222"/>
      <c r="E308" s="92"/>
      <c r="F308" s="93"/>
      <c r="G308" s="94"/>
      <c r="H308" s="87"/>
      <c r="I308" s="95"/>
      <c r="J308" s="96"/>
      <c r="K308" s="97"/>
    </row>
    <row r="309" spans="1:11">
      <c r="A309" s="60"/>
      <c r="B309" s="223" t="s">
        <v>518</v>
      </c>
      <c r="C309" s="63" t="s">
        <v>519</v>
      </c>
      <c r="D309" s="63"/>
      <c r="E309" s="224"/>
      <c r="F309" s="93"/>
      <c r="G309" s="94"/>
      <c r="H309" s="225" t="s">
        <v>520</v>
      </c>
      <c r="I309" s="95"/>
      <c r="J309" s="96"/>
      <c r="K309" s="97"/>
    </row>
    <row r="310" spans="1:11">
      <c r="A310" s="60"/>
      <c r="B310" s="223" t="s">
        <v>521</v>
      </c>
      <c r="C310" s="223" t="s">
        <v>522</v>
      </c>
      <c r="D310" s="103"/>
      <c r="E310" s="224"/>
      <c r="F310" s="93"/>
      <c r="G310" s="94"/>
      <c r="H310" s="225" t="s">
        <v>520</v>
      </c>
      <c r="I310" s="95"/>
      <c r="J310" s="96"/>
      <c r="K310" s="97"/>
    </row>
    <row r="311" spans="1:11">
      <c r="A311" s="60"/>
      <c r="B311" s="223" t="s">
        <v>523</v>
      </c>
      <c r="C311" s="63" t="s">
        <v>524</v>
      </c>
      <c r="D311" s="63"/>
      <c r="E311" s="224"/>
      <c r="F311" s="93"/>
      <c r="G311" s="94"/>
      <c r="H311" s="225" t="s">
        <v>520</v>
      </c>
      <c r="I311" s="95"/>
      <c r="J311" s="96"/>
      <c r="K311" s="97"/>
    </row>
    <row r="312" spans="1:11">
      <c r="A312" s="60"/>
      <c r="B312" s="223" t="s">
        <v>525</v>
      </c>
      <c r="C312" s="223" t="s">
        <v>526</v>
      </c>
      <c r="D312" s="103"/>
      <c r="E312" s="224"/>
      <c r="F312" s="93"/>
      <c r="G312" s="94"/>
      <c r="H312" s="225" t="s">
        <v>520</v>
      </c>
      <c r="I312" s="95"/>
      <c r="J312" s="96"/>
      <c r="K312" s="97"/>
    </row>
    <row r="313" spans="1:11">
      <c r="A313" s="60"/>
      <c r="B313" s="78"/>
      <c r="C313" s="78"/>
      <c r="D313" s="219" t="s">
        <v>527</v>
      </c>
      <c r="E313" s="92"/>
      <c r="F313" s="83"/>
      <c r="G313" s="94"/>
      <c r="H313" s="225" t="s">
        <v>520</v>
      </c>
      <c r="I313" s="95"/>
      <c r="J313" s="96"/>
      <c r="K313" s="97"/>
    </row>
    <row r="314" spans="1:11">
      <c r="A314" s="60"/>
      <c r="B314" s="223" t="s">
        <v>528</v>
      </c>
      <c r="C314" s="78"/>
      <c r="D314" s="103"/>
      <c r="E314" s="92"/>
      <c r="F314" s="93"/>
      <c r="G314" s="94"/>
      <c r="H314" s="87"/>
      <c r="I314" s="95"/>
      <c r="J314" s="96"/>
      <c r="K314" s="97"/>
    </row>
    <row r="315" spans="1:11">
      <c r="A315" s="60">
        <v>1</v>
      </c>
      <c r="B315" s="226" t="s">
        <v>529</v>
      </c>
      <c r="C315" s="78"/>
      <c r="D315" s="103"/>
      <c r="E315" s="92"/>
      <c r="F315" s="93"/>
      <c r="G315" s="94"/>
      <c r="H315" s="87"/>
      <c r="I315" s="95"/>
      <c r="J315" s="96"/>
      <c r="K315" s="97"/>
    </row>
    <row r="316" spans="1:11">
      <c r="A316" s="60"/>
      <c r="B316" s="226" t="s">
        <v>530</v>
      </c>
      <c r="C316" s="78"/>
      <c r="D316" s="103"/>
      <c r="E316" s="92"/>
      <c r="F316" s="93"/>
      <c r="G316" s="94"/>
      <c r="H316" s="87"/>
      <c r="I316" s="95"/>
      <c r="J316" s="96"/>
      <c r="K316" s="97"/>
    </row>
    <row r="317" spans="1:11">
      <c r="A317" s="60">
        <v>2</v>
      </c>
      <c r="B317" s="226" t="s">
        <v>531</v>
      </c>
      <c r="C317" s="78"/>
      <c r="D317" s="103"/>
      <c r="E317" s="92"/>
      <c r="F317" s="93"/>
      <c r="G317" s="94"/>
      <c r="H317" s="87"/>
      <c r="I317" s="95"/>
      <c r="J317" s="96"/>
      <c r="K317" s="97"/>
    </row>
    <row r="318" spans="1:11">
      <c r="A318" s="60">
        <v>3</v>
      </c>
      <c r="B318" s="226" t="s">
        <v>532</v>
      </c>
      <c r="C318" s="78"/>
      <c r="D318" s="103"/>
      <c r="E318" s="92"/>
      <c r="F318" s="93"/>
      <c r="G318" s="94"/>
      <c r="H318" s="87"/>
      <c r="I318" s="95"/>
      <c r="J318" s="96"/>
      <c r="K318" s="97"/>
    </row>
    <row r="319" spans="1:11">
      <c r="A319" s="60">
        <v>4</v>
      </c>
      <c r="B319" s="226" t="s">
        <v>533</v>
      </c>
      <c r="C319" s="78"/>
      <c r="D319" s="103"/>
      <c r="E319" s="92"/>
      <c r="F319" s="93"/>
      <c r="G319" s="94"/>
      <c r="H319" s="87"/>
      <c r="I319" s="95"/>
      <c r="J319" s="96"/>
      <c r="K319" s="97"/>
    </row>
    <row r="320" spans="1:11">
      <c r="A320" s="60">
        <v>5</v>
      </c>
      <c r="B320" s="226" t="s">
        <v>534</v>
      </c>
      <c r="C320" s="78"/>
      <c r="D320" s="103"/>
      <c r="E320" s="92"/>
      <c r="F320" s="93"/>
      <c r="G320" s="94"/>
      <c r="H320" s="87"/>
      <c r="I320" s="95"/>
      <c r="J320" s="96"/>
      <c r="K320" s="97"/>
    </row>
    <row r="321" spans="1:11">
      <c r="A321" s="60">
        <v>6</v>
      </c>
      <c r="B321" s="226" t="s">
        <v>535</v>
      </c>
      <c r="C321" s="78"/>
      <c r="D321" s="103"/>
      <c r="E321" s="92"/>
      <c r="F321" s="93"/>
      <c r="G321" s="94"/>
      <c r="H321" s="87"/>
      <c r="I321" s="95"/>
      <c r="J321" s="96"/>
      <c r="K321" s="97"/>
    </row>
    <row r="322" spans="1:11">
      <c r="A322" s="60">
        <v>7</v>
      </c>
      <c r="B322" s="226" t="s">
        <v>536</v>
      </c>
      <c r="C322" s="78"/>
      <c r="D322" s="103"/>
      <c r="E322" s="92"/>
      <c r="F322" s="93"/>
      <c r="G322" s="94"/>
      <c r="H322" s="87"/>
      <c r="I322" s="95"/>
      <c r="J322" s="96"/>
      <c r="K322" s="97"/>
    </row>
    <row r="323" spans="1:11">
      <c r="A323" s="60">
        <v>8</v>
      </c>
      <c r="B323" s="226" t="s">
        <v>537</v>
      </c>
      <c r="C323" s="78"/>
      <c r="D323" s="103"/>
      <c r="E323" s="92"/>
      <c r="F323" s="93"/>
      <c r="G323" s="94"/>
      <c r="H323" s="87"/>
      <c r="I323" s="95"/>
      <c r="J323" s="96"/>
      <c r="K323" s="97"/>
    </row>
    <row r="324" spans="1:11">
      <c r="A324" s="60">
        <v>9</v>
      </c>
      <c r="B324" s="226" t="s">
        <v>538</v>
      </c>
      <c r="C324" s="78"/>
      <c r="D324" s="103"/>
      <c r="E324" s="92"/>
      <c r="F324" s="93"/>
      <c r="G324" s="94"/>
      <c r="H324" s="87"/>
      <c r="I324" s="95"/>
      <c r="J324" s="96"/>
      <c r="K324" s="97"/>
    </row>
    <row r="325" spans="1:11">
      <c r="A325" s="60">
        <v>10</v>
      </c>
      <c r="B325" s="226" t="s">
        <v>539</v>
      </c>
      <c r="C325" s="78"/>
      <c r="D325" s="103"/>
      <c r="E325" s="92"/>
      <c r="F325" s="93"/>
      <c r="G325" s="94"/>
      <c r="H325" s="87"/>
      <c r="I325" s="95"/>
      <c r="J325" s="96"/>
      <c r="K325" s="97"/>
    </row>
    <row r="326" spans="1:11">
      <c r="A326" s="60">
        <v>11</v>
      </c>
      <c r="B326" s="226" t="s">
        <v>540</v>
      </c>
      <c r="C326" s="78"/>
      <c r="D326" s="103"/>
      <c r="E326" s="92"/>
      <c r="F326" s="93"/>
      <c r="G326" s="94"/>
      <c r="H326" s="87"/>
      <c r="I326" s="95"/>
      <c r="J326" s="96"/>
      <c r="K326" s="97"/>
    </row>
    <row r="327" spans="1:11">
      <c r="A327" s="60"/>
      <c r="B327" s="227"/>
      <c r="C327" s="78"/>
      <c r="D327" s="103"/>
      <c r="E327" s="92"/>
      <c r="F327" s="93"/>
      <c r="G327" s="94"/>
      <c r="H327" s="87"/>
      <c r="I327" s="95"/>
      <c r="J327" s="96"/>
      <c r="K327" s="97"/>
    </row>
    <row r="328" spans="1:11">
      <c r="A328" s="60"/>
      <c r="B328" s="227"/>
      <c r="C328" s="78"/>
      <c r="D328" s="103"/>
      <c r="E328" s="92"/>
      <c r="F328" s="93"/>
      <c r="G328" s="94"/>
      <c r="H328" s="87"/>
      <c r="I328" s="95"/>
      <c r="J328" s="96"/>
      <c r="K328" s="97"/>
    </row>
    <row r="329" spans="1:11">
      <c r="A329" s="60"/>
      <c r="B329" s="223" t="s">
        <v>541</v>
      </c>
      <c r="C329" s="78"/>
      <c r="D329" s="103"/>
      <c r="E329" s="92"/>
      <c r="F329" s="93"/>
      <c r="G329" s="94"/>
      <c r="H329" s="87"/>
      <c r="I329" s="95"/>
      <c r="J329" s="96"/>
      <c r="K329" s="97"/>
    </row>
    <row r="330" spans="1:11">
      <c r="A330" s="60"/>
      <c r="B330" s="85"/>
      <c r="C330" s="86"/>
      <c r="D330" s="103"/>
      <c r="E330" s="92"/>
      <c r="F330" s="93"/>
      <c r="G330" s="94"/>
      <c r="H330" s="87"/>
      <c r="I330" s="95"/>
      <c r="J330" s="105"/>
      <c r="K330" s="97"/>
    </row>
    <row r="331" spans="1:11">
      <c r="A331" s="77"/>
      <c r="B331" s="64"/>
      <c r="C331" s="77"/>
      <c r="D331" s="88" t="s">
        <v>0</v>
      </c>
      <c r="E331" s="50"/>
      <c r="F331" s="77"/>
      <c r="G331" s="50"/>
      <c r="H331" s="64"/>
      <c r="I331" s="60" t="s">
        <v>117</v>
      </c>
      <c r="J331" s="228"/>
      <c r="K331" s="97"/>
    </row>
    <row r="332" spans="1:11">
      <c r="A332" s="50"/>
      <c r="B332" s="85"/>
      <c r="C332" s="50"/>
      <c r="D332" s="54" t="s">
        <v>542</v>
      </c>
      <c r="E332" s="50"/>
      <c r="F332" s="92" t="s">
        <v>543</v>
      </c>
      <c r="G332" s="194"/>
      <c r="H332" s="77"/>
      <c r="I332" s="67"/>
      <c r="J332" s="64"/>
      <c r="K332" s="97"/>
    </row>
    <row r="333" spans="1:11">
      <c r="A333" s="50"/>
      <c r="B333" s="85"/>
      <c r="C333" s="121" t="s">
        <v>1</v>
      </c>
      <c r="D333" s="82"/>
      <c r="E333" s="50"/>
      <c r="F333" s="77"/>
      <c r="G333" s="50"/>
      <c r="H333" s="123" t="s">
        <v>544</v>
      </c>
      <c r="I333" s="67"/>
      <c r="J333" s="50"/>
      <c r="K333" s="97"/>
    </row>
    <row r="334" spans="1:11">
      <c r="A334" s="50"/>
      <c r="B334" s="78"/>
      <c r="C334" s="78"/>
      <c r="D334" s="91"/>
      <c r="E334" s="101"/>
      <c r="F334" s="86"/>
      <c r="G334" s="86"/>
      <c r="H334" s="87"/>
      <c r="I334" s="88"/>
      <c r="J334" s="111"/>
      <c r="K334" s="158"/>
    </row>
    <row r="335" spans="1:11">
      <c r="A335" s="1"/>
      <c r="H335" s="1"/>
    </row>
    <row r="336" spans="1:11">
      <c r="A336" s="1"/>
      <c r="H336" s="1"/>
    </row>
    <row r="337" spans="1:10">
      <c r="A337" s="1"/>
      <c r="H337" s="1"/>
    </row>
    <row r="338" spans="1:10">
      <c r="A338" s="1"/>
      <c r="H338" s="1"/>
    </row>
    <row r="339" spans="1:10">
      <c r="A339" s="1"/>
      <c r="H339" s="1"/>
    </row>
    <row r="340" spans="1:10">
      <c r="A340" s="1"/>
      <c r="H340" s="1"/>
    </row>
    <row r="341" spans="1:10">
      <c r="A341" s="8"/>
      <c r="B341" s="43"/>
      <c r="C341" s="6"/>
      <c r="D341" s="12"/>
      <c r="E341" s="13"/>
      <c r="F341" s="6"/>
      <c r="G341" s="6"/>
      <c r="H341" s="17"/>
      <c r="I341" s="5"/>
      <c r="J341" s="10"/>
    </row>
    <row r="342" spans="1:10">
      <c r="A342" s="8"/>
      <c r="B342" s="43"/>
      <c r="C342" s="6"/>
      <c r="D342" s="12"/>
      <c r="E342" s="13"/>
      <c r="F342" s="6"/>
      <c r="G342" s="6"/>
      <c r="H342" s="17"/>
      <c r="I342" s="5"/>
      <c r="J342" s="10"/>
    </row>
    <row r="343" spans="1:10">
      <c r="A343" s="8"/>
      <c r="B343" s="43"/>
      <c r="C343" s="6"/>
      <c r="D343" s="12"/>
      <c r="E343" s="13"/>
      <c r="F343" s="6"/>
      <c r="G343" s="6"/>
      <c r="H343" s="17"/>
      <c r="I343" s="5"/>
      <c r="J343" s="10"/>
    </row>
    <row r="344" spans="1:10">
      <c r="A344" s="8"/>
      <c r="B344" s="43"/>
      <c r="C344" s="6"/>
      <c r="D344" s="12"/>
      <c r="E344" s="13"/>
      <c r="F344" s="6"/>
      <c r="G344" s="6"/>
      <c r="H344" s="17"/>
      <c r="I344" s="5"/>
      <c r="J344" s="10"/>
    </row>
    <row r="345" spans="1:10">
      <c r="A345" s="8"/>
      <c r="B345" s="43"/>
      <c r="C345" s="6"/>
      <c r="D345" s="12"/>
      <c r="E345" s="13"/>
      <c r="F345" s="6"/>
      <c r="G345" s="6"/>
      <c r="H345" s="17"/>
      <c r="I345" s="5"/>
      <c r="J345" s="10"/>
    </row>
    <row r="346" spans="1:10">
      <c r="A346" s="8"/>
      <c r="B346" s="43"/>
      <c r="C346" s="6"/>
      <c r="D346" s="12"/>
      <c r="E346" s="13"/>
      <c r="F346" s="6"/>
      <c r="G346" s="6"/>
      <c r="H346" s="17"/>
      <c r="I346" s="5"/>
      <c r="J346" s="10"/>
    </row>
    <row r="347" spans="1:10">
      <c r="A347" s="8"/>
      <c r="B347" s="43"/>
      <c r="C347" s="6"/>
      <c r="D347" s="12"/>
      <c r="E347" s="13"/>
      <c r="F347" s="6"/>
      <c r="G347" s="6"/>
      <c r="H347" s="17"/>
      <c r="I347" s="5"/>
      <c r="J347" s="10"/>
    </row>
    <row r="348" spans="1:10">
      <c r="A348" s="8"/>
      <c r="B348" s="43"/>
      <c r="C348" s="6"/>
      <c r="D348" s="12"/>
      <c r="E348" s="13"/>
      <c r="F348" s="6"/>
      <c r="G348" s="6"/>
      <c r="H348" s="17"/>
      <c r="I348" s="5"/>
      <c r="J348" s="10"/>
    </row>
    <row r="349" spans="1:10">
      <c r="A349" s="8"/>
      <c r="B349" s="43"/>
      <c r="C349" s="6"/>
      <c r="D349" s="12"/>
      <c r="E349" s="13"/>
      <c r="F349" s="6"/>
      <c r="G349" s="6"/>
      <c r="H349" s="17"/>
      <c r="I349" s="5"/>
      <c r="J349" s="10"/>
    </row>
    <row r="350" spans="1:10">
      <c r="A350" s="8"/>
      <c r="B350" s="43"/>
      <c r="C350" s="6"/>
      <c r="D350" s="12"/>
      <c r="E350" s="13"/>
      <c r="F350" s="6"/>
      <c r="G350" s="6"/>
      <c r="H350" s="17"/>
      <c r="I350" s="5"/>
      <c r="J350" s="10"/>
    </row>
    <row r="351" spans="1:10">
      <c r="A351" s="8"/>
      <c r="B351" s="43"/>
      <c r="C351" s="6"/>
      <c r="D351" s="12"/>
      <c r="E351" s="13"/>
      <c r="F351" s="6"/>
      <c r="G351" s="6"/>
      <c r="H351" s="17"/>
      <c r="I351" s="5"/>
      <c r="J351" s="10"/>
    </row>
    <row r="352" spans="1:10">
      <c r="A352" s="8"/>
      <c r="B352" s="43"/>
      <c r="C352" s="6"/>
      <c r="D352" s="12"/>
      <c r="E352" s="13"/>
      <c r="F352" s="6"/>
      <c r="G352" s="6"/>
      <c r="H352" s="17"/>
      <c r="I352" s="5"/>
      <c r="J352" s="10"/>
    </row>
    <row r="353" spans="1:10">
      <c r="A353" s="8"/>
      <c r="B353" s="43"/>
      <c r="C353" s="6"/>
      <c r="D353" s="12"/>
      <c r="E353" s="13"/>
      <c r="F353" s="6"/>
      <c r="G353" s="6"/>
      <c r="H353" s="17"/>
      <c r="I353" s="5"/>
      <c r="J353" s="10"/>
    </row>
    <row r="354" spans="1:10">
      <c r="A354" s="8"/>
      <c r="B354" s="43"/>
      <c r="C354" s="6"/>
      <c r="D354" s="12"/>
      <c r="E354" s="13"/>
      <c r="F354" s="6"/>
      <c r="G354" s="6"/>
      <c r="H354" s="17"/>
      <c r="I354" s="5"/>
      <c r="J354" s="10"/>
    </row>
    <row r="355" spans="1:10">
      <c r="A355" s="8"/>
      <c r="B355" s="43"/>
      <c r="C355" s="6"/>
      <c r="D355" s="12"/>
      <c r="E355" s="13"/>
      <c r="F355" s="6"/>
      <c r="G355" s="6"/>
      <c r="H355" s="17"/>
      <c r="I355" s="5"/>
      <c r="J355" s="10"/>
    </row>
    <row r="356" spans="1:10">
      <c r="A356" s="8"/>
      <c r="B356" s="43"/>
      <c r="C356" s="6"/>
      <c r="D356" s="12"/>
      <c r="E356" s="13"/>
      <c r="F356" s="6"/>
      <c r="G356" s="6"/>
      <c r="H356" s="17"/>
      <c r="I356" s="5"/>
      <c r="J356" s="10"/>
    </row>
    <row r="357" spans="1:10">
      <c r="A357" s="8"/>
      <c r="B357" s="43"/>
      <c r="C357" s="6"/>
      <c r="D357" s="12"/>
      <c r="E357" s="13"/>
      <c r="F357" s="6"/>
      <c r="G357" s="6"/>
      <c r="H357" s="17"/>
      <c r="I357" s="5"/>
      <c r="J357" s="10"/>
    </row>
    <row r="358" spans="1:10">
      <c r="A358" s="8"/>
      <c r="B358" s="43"/>
      <c r="C358" s="6"/>
      <c r="D358" s="12"/>
      <c r="E358" s="13"/>
      <c r="F358" s="6"/>
      <c r="G358" s="6"/>
      <c r="H358" s="17"/>
      <c r="I358" s="5"/>
      <c r="J358" s="10"/>
    </row>
    <row r="359" spans="1:10">
      <c r="A359" s="8"/>
      <c r="B359" s="43"/>
      <c r="C359" s="6"/>
      <c r="D359" s="12"/>
      <c r="E359" s="13"/>
      <c r="F359" s="14"/>
      <c r="G359" s="15"/>
      <c r="H359" s="17"/>
      <c r="I359" s="16"/>
      <c r="J359" s="11"/>
    </row>
    <row r="360" spans="1:10">
      <c r="A360" s="1"/>
      <c r="B360" s="43"/>
      <c r="C360" s="6"/>
      <c r="D360" s="12"/>
      <c r="H360" s="1"/>
    </row>
    <row r="361" spans="1:10">
      <c r="A361" s="1"/>
      <c r="H361" s="1"/>
    </row>
    <row r="362" spans="1:10">
      <c r="A362" s="1"/>
      <c r="H362" s="1"/>
    </row>
    <row r="363" spans="1:10">
      <c r="A363" s="1"/>
      <c r="H363" s="1"/>
    </row>
    <row r="364" spans="1:10">
      <c r="A364" s="1"/>
      <c r="H364" s="1"/>
    </row>
    <row r="365" spans="1:10">
      <c r="A365" s="1"/>
      <c r="H365" s="1"/>
    </row>
    <row r="366" spans="1:10">
      <c r="A366" s="1"/>
      <c r="H366" s="1"/>
    </row>
    <row r="367" spans="1:10">
      <c r="A367" s="1"/>
      <c r="H367" s="1"/>
    </row>
    <row r="368" spans="1:10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  <row r="469" spans="1:8">
      <c r="A469" s="1"/>
      <c r="H469" s="1"/>
    </row>
    <row r="470" spans="1:8">
      <c r="A470" s="1"/>
      <c r="H470" s="1"/>
    </row>
    <row r="471" spans="1:8">
      <c r="A471" s="1"/>
      <c r="H471" s="1"/>
    </row>
    <row r="472" spans="1:8">
      <c r="A472" s="1"/>
      <c r="H472" s="1"/>
    </row>
    <row r="473" spans="1:8">
      <c r="A473" s="1"/>
      <c r="H473" s="1"/>
    </row>
    <row r="474" spans="1:8">
      <c r="A474" s="1"/>
      <c r="H474" s="1"/>
    </row>
    <row r="475" spans="1:8">
      <c r="A475" s="1"/>
      <c r="H475" s="1"/>
    </row>
    <row r="476" spans="1:8">
      <c r="A476" s="1"/>
      <c r="H476" s="1"/>
    </row>
    <row r="477" spans="1:8">
      <c r="A477" s="1"/>
      <c r="H477" s="1"/>
    </row>
    <row r="478" spans="1:8">
      <c r="A478" s="1"/>
      <c r="H478" s="1"/>
    </row>
    <row r="479" spans="1:8">
      <c r="A479" s="1"/>
      <c r="H479" s="1"/>
    </row>
    <row r="480" spans="1:8">
      <c r="A480" s="1"/>
      <c r="H480" s="1"/>
    </row>
    <row r="481" spans="1:8">
      <c r="A481" s="1"/>
      <c r="H481" s="1"/>
    </row>
    <row r="482" spans="1:8">
      <c r="A482" s="1"/>
      <c r="H482" s="1"/>
    </row>
    <row r="483" spans="1:8">
      <c r="A483" s="1"/>
      <c r="H483" s="1"/>
    </row>
    <row r="484" spans="1:8">
      <c r="A484" s="1"/>
      <c r="H484" s="1"/>
    </row>
    <row r="485" spans="1:8">
      <c r="A485" s="1"/>
      <c r="H485" s="1"/>
    </row>
    <row r="486" spans="1:8">
      <c r="A486" s="1"/>
      <c r="H486" s="1"/>
    </row>
    <row r="487" spans="1:8">
      <c r="A487" s="1"/>
      <c r="H487" s="1"/>
    </row>
    <row r="488" spans="1:8">
      <c r="A488" s="1"/>
      <c r="H488" s="1"/>
    </row>
    <row r="489" spans="1:8">
      <c r="A489" s="1"/>
      <c r="H489" s="1"/>
    </row>
    <row r="490" spans="1:8">
      <c r="A490" s="1"/>
      <c r="H490" s="1"/>
    </row>
    <row r="491" spans="1:8">
      <c r="A491" s="1"/>
      <c r="H491" s="1"/>
    </row>
    <row r="492" spans="1:8">
      <c r="A492" s="1"/>
      <c r="H492" s="1"/>
    </row>
    <row r="493" spans="1:8">
      <c r="A493" s="1"/>
      <c r="H493" s="1"/>
    </row>
    <row r="494" spans="1:8">
      <c r="A494" s="1"/>
      <c r="H494" s="1"/>
    </row>
    <row r="495" spans="1:8">
      <c r="A495" s="1"/>
      <c r="H495" s="1"/>
    </row>
    <row r="496" spans="1:8">
      <c r="A496" s="1"/>
      <c r="H496" s="1"/>
    </row>
    <row r="497" spans="1:8">
      <c r="A497" s="1"/>
      <c r="H497" s="1"/>
    </row>
    <row r="498" spans="1:8">
      <c r="A498" s="1"/>
      <c r="H498" s="1"/>
    </row>
    <row r="499" spans="1:8">
      <c r="A499" s="1"/>
      <c r="H499" s="1"/>
    </row>
    <row r="500" spans="1:8">
      <c r="A500" s="1"/>
      <c r="H500" s="1"/>
    </row>
    <row r="501" spans="1:8">
      <c r="A501" s="1"/>
      <c r="H501" s="1"/>
    </row>
    <row r="502" spans="1:8">
      <c r="A502" s="1"/>
      <c r="H502" s="1"/>
    </row>
    <row r="503" spans="1:8">
      <c r="A503" s="1"/>
      <c r="H503" s="1"/>
    </row>
    <row r="504" spans="1:8">
      <c r="A504" s="1"/>
      <c r="H504" s="1"/>
    </row>
    <row r="505" spans="1:8">
      <c r="A505" s="1"/>
      <c r="H505" s="1"/>
    </row>
    <row r="506" spans="1:8">
      <c r="A506" s="1"/>
      <c r="H506" s="1"/>
    </row>
    <row r="507" spans="1:8">
      <c r="A507" s="1"/>
      <c r="H507" s="1"/>
    </row>
    <row r="508" spans="1:8">
      <c r="A508" s="1"/>
      <c r="H508" s="1"/>
    </row>
    <row r="509" spans="1:8">
      <c r="A509" s="1"/>
      <c r="H509" s="1"/>
    </row>
    <row r="510" spans="1:8">
      <c r="A510" s="1"/>
      <c r="H510" s="1"/>
    </row>
    <row r="511" spans="1:8">
      <c r="A511" s="1"/>
      <c r="H511" s="1"/>
    </row>
    <row r="512" spans="1:8">
      <c r="A512" s="1"/>
      <c r="H512" s="1"/>
    </row>
    <row r="513" spans="1:8">
      <c r="A513" s="1"/>
      <c r="H513" s="1"/>
    </row>
    <row r="514" spans="1:8">
      <c r="A514" s="1"/>
      <c r="H514" s="1"/>
    </row>
    <row r="515" spans="1:8">
      <c r="A515" s="1"/>
      <c r="H515" s="1"/>
    </row>
    <row r="516" spans="1:8">
      <c r="A516" s="1"/>
      <c r="H516" s="1"/>
    </row>
    <row r="517" spans="1:8">
      <c r="A517" s="1"/>
      <c r="H517" s="1"/>
    </row>
    <row r="518" spans="1:8">
      <c r="A518" s="1"/>
      <c r="H518" s="1"/>
    </row>
    <row r="519" spans="1:8">
      <c r="A519" s="1"/>
      <c r="H519" s="1"/>
    </row>
    <row r="520" spans="1:8">
      <c r="A520" s="1"/>
      <c r="H520" s="1"/>
    </row>
    <row r="521" spans="1:8">
      <c r="A521" s="1"/>
      <c r="H521" s="1"/>
    </row>
    <row r="522" spans="1:8">
      <c r="A522" s="1"/>
      <c r="H522" s="1"/>
    </row>
    <row r="523" spans="1:8">
      <c r="A523" s="1"/>
      <c r="H523" s="1"/>
    </row>
    <row r="524" spans="1:8">
      <c r="A524" s="1"/>
      <c r="H524" s="1"/>
    </row>
    <row r="525" spans="1:8">
      <c r="A525" s="1"/>
      <c r="H525" s="1"/>
    </row>
    <row r="526" spans="1:8">
      <c r="A526" s="1"/>
      <c r="H526" s="1"/>
    </row>
    <row r="527" spans="1:8">
      <c r="A527" s="1"/>
      <c r="H527" s="1"/>
    </row>
    <row r="528" spans="1:8">
      <c r="A528" s="1"/>
      <c r="H528" s="1"/>
    </row>
    <row r="529" spans="1:8">
      <c r="A529" s="1"/>
      <c r="H529" s="1"/>
    </row>
    <row r="530" spans="1:8">
      <c r="A530" s="1"/>
      <c r="H530" s="1"/>
    </row>
    <row r="531" spans="1:8">
      <c r="A531" s="1"/>
      <c r="H531" s="1"/>
    </row>
    <row r="532" spans="1:8">
      <c r="A532" s="1"/>
      <c r="H532" s="1"/>
    </row>
    <row r="533" spans="1:8">
      <c r="A533" s="1"/>
      <c r="H533" s="1"/>
    </row>
    <row r="534" spans="1:8">
      <c r="A534" s="1"/>
      <c r="H534" s="1"/>
    </row>
    <row r="535" spans="1:8">
      <c r="A535" s="1"/>
      <c r="H535" s="1"/>
    </row>
    <row r="536" spans="1:8">
      <c r="A536" s="1"/>
      <c r="H536" s="1"/>
    </row>
    <row r="537" spans="1:8">
      <c r="A537" s="1"/>
      <c r="H537" s="1"/>
    </row>
    <row r="538" spans="1:8">
      <c r="A538" s="1"/>
      <c r="H538" s="1"/>
    </row>
    <row r="539" spans="1:8">
      <c r="A539" s="1"/>
      <c r="H539" s="1"/>
    </row>
    <row r="540" spans="1:8">
      <c r="A540" s="1"/>
      <c r="H540" s="1"/>
    </row>
    <row r="541" spans="1:8">
      <c r="A541" s="1"/>
      <c r="H541" s="1"/>
    </row>
    <row r="542" spans="1:8">
      <c r="A542" s="1"/>
      <c r="H542" s="1"/>
    </row>
    <row r="543" spans="1:8">
      <c r="A543" s="1"/>
      <c r="H543" s="1"/>
    </row>
    <row r="544" spans="1:8">
      <c r="A544" s="1"/>
      <c r="H544" s="1"/>
    </row>
    <row r="545" spans="1:8">
      <c r="A545" s="1"/>
      <c r="H545" s="1"/>
    </row>
    <row r="546" spans="1:8">
      <c r="A546" s="1"/>
      <c r="H546" s="1"/>
    </row>
    <row r="547" spans="1:8">
      <c r="A547" s="1"/>
      <c r="H547" s="1"/>
    </row>
    <row r="548" spans="1:8">
      <c r="A548" s="1"/>
      <c r="H548" s="1"/>
    </row>
    <row r="549" spans="1:8">
      <c r="A549" s="1"/>
      <c r="H549" s="1"/>
    </row>
    <row r="550" spans="1:8">
      <c r="A550" s="1"/>
      <c r="H550" s="1"/>
    </row>
    <row r="551" spans="1:8">
      <c r="A551" s="1"/>
      <c r="H551" s="1"/>
    </row>
    <row r="552" spans="1:8">
      <c r="A552" s="1"/>
      <c r="H552" s="1"/>
    </row>
    <row r="553" spans="1:8">
      <c r="A553" s="1"/>
      <c r="H553" s="1"/>
    </row>
    <row r="554" spans="1:8">
      <c r="A554" s="1"/>
      <c r="H554" s="1"/>
    </row>
    <row r="555" spans="1:8">
      <c r="A555" s="1"/>
      <c r="H555" s="1"/>
    </row>
    <row r="556" spans="1:8">
      <c r="A556" s="1"/>
      <c r="H556" s="1"/>
    </row>
    <row r="557" spans="1:8">
      <c r="A557" s="1"/>
      <c r="H557" s="1"/>
    </row>
    <row r="558" spans="1:8">
      <c r="A558" s="1"/>
      <c r="H558" s="1"/>
    </row>
    <row r="559" spans="1:8">
      <c r="A559" s="1"/>
      <c r="H559" s="1"/>
    </row>
    <row r="560" spans="1:8">
      <c r="A560" s="1"/>
      <c r="H560" s="1"/>
    </row>
    <row r="561" spans="1:8">
      <c r="A561" s="1"/>
      <c r="H561" s="1"/>
    </row>
    <row r="562" spans="1:8">
      <c r="A562" s="1"/>
      <c r="H562" s="1"/>
    </row>
    <row r="563" spans="1:8">
      <c r="A563" s="1"/>
      <c r="H563" s="1"/>
    </row>
    <row r="564" spans="1:8">
      <c r="A564" s="1"/>
      <c r="H564" s="1"/>
    </row>
    <row r="565" spans="1:8">
      <c r="A565" s="1"/>
      <c r="H565" s="1"/>
    </row>
    <row r="566" spans="1:8">
      <c r="A566" s="1"/>
      <c r="H566" s="1"/>
    </row>
    <row r="567" spans="1:8">
      <c r="A567" s="1"/>
      <c r="H567" s="1"/>
    </row>
    <row r="568" spans="1:8">
      <c r="A568" s="1"/>
      <c r="H568" s="1"/>
    </row>
    <row r="569" spans="1:8">
      <c r="A569" s="1"/>
      <c r="H569" s="1"/>
    </row>
    <row r="570" spans="1:8">
      <c r="A570" s="1"/>
      <c r="H570" s="1"/>
    </row>
    <row r="571" spans="1:8">
      <c r="A571" s="1"/>
      <c r="H571" s="1"/>
    </row>
    <row r="572" spans="1:8">
      <c r="A572" s="1"/>
      <c r="H572" s="1"/>
    </row>
    <row r="573" spans="1:8">
      <c r="A573" s="1"/>
      <c r="H573" s="1"/>
    </row>
    <row r="574" spans="1:8">
      <c r="A574" s="1"/>
      <c r="H574" s="1"/>
    </row>
    <row r="575" spans="1:8">
      <c r="A575" s="1"/>
      <c r="H575" s="1"/>
    </row>
    <row r="576" spans="1:8">
      <c r="A576" s="1"/>
      <c r="H576" s="1"/>
    </row>
    <row r="577" spans="1:8">
      <c r="A577" s="1"/>
      <c r="H577" s="1"/>
    </row>
    <row r="578" spans="1:8">
      <c r="A578" s="1"/>
      <c r="H578" s="1"/>
    </row>
    <row r="579" spans="1:8">
      <c r="A579" s="1"/>
      <c r="H579" s="1"/>
    </row>
    <row r="580" spans="1:8">
      <c r="A580" s="1"/>
      <c r="H580" s="1"/>
    </row>
    <row r="581" spans="1:8">
      <c r="A581" s="1"/>
      <c r="H581" s="1"/>
    </row>
    <row r="582" spans="1:8">
      <c r="A582" s="1"/>
      <c r="H582" s="1"/>
    </row>
    <row r="583" spans="1:8">
      <c r="A583" s="1"/>
      <c r="H583" s="1"/>
    </row>
    <row r="584" spans="1:8">
      <c r="A584" s="1"/>
      <c r="H584" s="1"/>
    </row>
    <row r="585" spans="1:8">
      <c r="A585" s="1"/>
      <c r="H585" s="1"/>
    </row>
    <row r="586" spans="1:8">
      <c r="A586" s="1"/>
      <c r="H586" s="1"/>
    </row>
    <row r="587" spans="1:8">
      <c r="A587" s="1"/>
      <c r="H587" s="1"/>
    </row>
    <row r="588" spans="1:8">
      <c r="A588" s="1"/>
      <c r="H588" s="1"/>
    </row>
    <row r="589" spans="1:8">
      <c r="A589" s="1"/>
      <c r="H589" s="1"/>
    </row>
    <row r="590" spans="1:8">
      <c r="A590" s="1"/>
      <c r="H590" s="1"/>
    </row>
    <row r="591" spans="1:8">
      <c r="A591" s="1"/>
      <c r="H591" s="1"/>
    </row>
    <row r="592" spans="1:8">
      <c r="A592" s="1"/>
      <c r="H592" s="1"/>
    </row>
    <row r="593" spans="1:8">
      <c r="A593" s="1"/>
      <c r="H593" s="1"/>
    </row>
    <row r="594" spans="1:8">
      <c r="A594" s="1"/>
      <c r="H594" s="1"/>
    </row>
    <row r="595" spans="1:8">
      <c r="A595" s="1"/>
      <c r="H595" s="1"/>
    </row>
    <row r="596" spans="1:8">
      <c r="A596" s="1"/>
      <c r="H596" s="1"/>
    </row>
    <row r="597" spans="1:8">
      <c r="A597" s="1"/>
      <c r="H597" s="1"/>
    </row>
  </sheetData>
  <mergeCells count="26">
    <mergeCell ref="D278:K278"/>
    <mergeCell ref="D245:K245"/>
    <mergeCell ref="D249:K249"/>
    <mergeCell ref="D252:K252"/>
    <mergeCell ref="D261:K261"/>
    <mergeCell ref="D264:K264"/>
    <mergeCell ref="D95:K95"/>
    <mergeCell ref="D211:K211"/>
    <mergeCell ref="D224:K224"/>
    <mergeCell ref="D230:K230"/>
    <mergeCell ref="D241:K241"/>
    <mergeCell ref="D76:K76"/>
    <mergeCell ref="D78:K78"/>
    <mergeCell ref="D81:K81"/>
    <mergeCell ref="D85:K85"/>
    <mergeCell ref="D88:K88"/>
    <mergeCell ref="D46:K46"/>
    <mergeCell ref="D51:K51"/>
    <mergeCell ref="D60:L60"/>
    <mergeCell ref="D70:K70"/>
    <mergeCell ref="D73:K73"/>
    <mergeCell ref="C1:K2"/>
    <mergeCell ref="D21:K21"/>
    <mergeCell ref="D28:K28"/>
    <mergeCell ref="D34:K34"/>
    <mergeCell ref="D41:K41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Mes</vt:lpstr>
      <vt:lpstr>(Abs)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2016-12-26T10:44:52Z</cp:lastPrinted>
  <dcterms:created xsi:type="dcterms:W3CDTF">2004-01-20T03:33:34Z</dcterms:created>
  <dcterms:modified xsi:type="dcterms:W3CDTF">2017-02-22T11:29:51Z</dcterms:modified>
</cp:coreProperties>
</file>