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360" yWindow="240" windowWidth="8730" windowHeight="4140" tabRatio="650" activeTab="2"/>
  </bookViews>
  <sheets>
    <sheet name="Face sheet" sheetId="58" r:id="rId1"/>
    <sheet name="G.Abs" sheetId="59" r:id="rId2"/>
    <sheet name="(Abs)" sheetId="55" r:id="rId3"/>
    <sheet name="Mes" sheetId="56" r:id="rId4"/>
    <sheet name="Bar Bending Schedule" sheetId="61" r:id="rId5"/>
    <sheet name="Sheet1" sheetId="60" r:id="rId6"/>
  </sheets>
  <definedNames>
    <definedName name="_xlnm.Print_Area" localSheetId="2">'(Abs)'!$A$1:$K$218</definedName>
    <definedName name="_xlnm.Print_Area" localSheetId="4">'Bar Bending Schedule'!$A$1:$K$152</definedName>
    <definedName name="_xlnm.Print_Area" localSheetId="3">Mes!$A$1:$K$376</definedName>
    <definedName name="_xlnm.Print_Titles" localSheetId="2">'(Abs)'!$5:$5</definedName>
    <definedName name="_xlnm.Print_Titles" localSheetId="4">'Bar Bending Schedule'!$6:$6</definedName>
    <definedName name="_xlnm.Print_Titles" localSheetId="3">Mes!$6:$6</definedName>
    <definedName name="Z_5096C17F_4B72_4439_B201_B103E6167857_.wvu.PrintTitles" localSheetId="2" hidden="1">'(Abs)'!$5:$5</definedName>
  </definedNames>
  <calcPr calcId="144525"/>
  <customWorkbookViews>
    <customWorkbookView name="Farhan 26-11-2008 - Personal View" guid="{5096C17F-4B72-4439-B201-B103E6167857}" mergeInterval="0" personalView="1" maximized="1" windowWidth="1020" windowHeight="566" tabRatio="769" activeSheetId="21"/>
  </customWorkbookViews>
</workbook>
</file>

<file path=xl/calcChain.xml><?xml version="1.0" encoding="utf-8"?>
<calcChain xmlns="http://schemas.openxmlformats.org/spreadsheetml/2006/main">
  <c r="D16" i="55" l="1"/>
  <c r="D50" i="55"/>
  <c r="H33" i="59" l="1"/>
  <c r="J115" i="61" l="1"/>
  <c r="J131" i="56" s="1"/>
  <c r="D81" i="55" s="1"/>
  <c r="J112" i="61"/>
  <c r="J111" i="61"/>
  <c r="J110" i="61"/>
  <c r="J109" i="61"/>
  <c r="J108" i="61"/>
  <c r="J107" i="61"/>
  <c r="J106" i="61"/>
  <c r="J105" i="61"/>
  <c r="J104" i="61"/>
  <c r="J103" i="61"/>
  <c r="J102" i="61"/>
  <c r="J101" i="61"/>
  <c r="J100" i="61"/>
  <c r="J99" i="61"/>
  <c r="J98" i="61"/>
  <c r="J97" i="61"/>
  <c r="J96" i="61"/>
  <c r="J95" i="61"/>
  <c r="J94" i="61"/>
  <c r="J93" i="61"/>
  <c r="J92" i="61"/>
  <c r="J91" i="61"/>
  <c r="J90" i="61"/>
  <c r="J89" i="61"/>
  <c r="J88" i="61"/>
  <c r="J87" i="61"/>
  <c r="J86" i="61"/>
  <c r="J85" i="61"/>
  <c r="J84" i="61"/>
  <c r="J83" i="61"/>
  <c r="J82" i="61"/>
  <c r="J81" i="61"/>
  <c r="J80" i="61"/>
  <c r="J79" i="61"/>
  <c r="J78" i="61"/>
  <c r="J77" i="61"/>
  <c r="J76" i="61"/>
  <c r="J75" i="61"/>
  <c r="J74" i="61"/>
  <c r="J73" i="61"/>
  <c r="J72" i="61"/>
  <c r="J71" i="61"/>
  <c r="J70" i="61"/>
  <c r="J69" i="61"/>
  <c r="J68" i="61"/>
  <c r="J67" i="61"/>
  <c r="J66" i="61"/>
  <c r="J65" i="61"/>
  <c r="J64" i="61"/>
  <c r="J63" i="61"/>
  <c r="J62" i="61"/>
  <c r="J61" i="61"/>
  <c r="J60" i="61"/>
  <c r="J59" i="61"/>
  <c r="J58" i="61"/>
  <c r="J57" i="61"/>
  <c r="J56" i="61"/>
  <c r="J55" i="61"/>
  <c r="J54" i="61"/>
  <c r="J52" i="61"/>
  <c r="J91" i="56" s="1"/>
  <c r="J47" i="61"/>
  <c r="J46" i="61"/>
  <c r="J45" i="61"/>
  <c r="J44" i="61"/>
  <c r="J43" i="61"/>
  <c r="J42" i="61"/>
  <c r="J41" i="61"/>
  <c r="J40" i="61"/>
  <c r="J39" i="61"/>
  <c r="J38" i="61"/>
  <c r="J37" i="61"/>
  <c r="J36" i="61"/>
  <c r="J35" i="61"/>
  <c r="J34" i="61"/>
  <c r="J33" i="61"/>
  <c r="J32" i="61"/>
  <c r="J31" i="61"/>
  <c r="J30" i="61"/>
  <c r="J29" i="61"/>
  <c r="J28" i="61"/>
  <c r="J27" i="61"/>
  <c r="J26" i="61"/>
  <c r="J25" i="61"/>
  <c r="J22" i="61"/>
  <c r="J21" i="61"/>
  <c r="J20" i="61"/>
  <c r="J19" i="61"/>
  <c r="J18" i="61"/>
  <c r="J17" i="61"/>
  <c r="J16" i="61"/>
  <c r="J15" i="61"/>
  <c r="J14" i="61"/>
  <c r="J13" i="61"/>
  <c r="J12" i="61"/>
  <c r="J11" i="61"/>
  <c r="J10" i="61"/>
  <c r="J9" i="61"/>
  <c r="J23" i="61" l="1"/>
  <c r="J48" i="61"/>
  <c r="J50" i="61" s="1"/>
  <c r="J363" i="56"/>
  <c r="J362" i="56"/>
  <c r="J361" i="56"/>
  <c r="J360" i="56"/>
  <c r="J358" i="56"/>
  <c r="J357" i="56"/>
  <c r="J356" i="56"/>
  <c r="J359" i="56"/>
  <c r="J355" i="56"/>
  <c r="J354" i="56"/>
  <c r="J353" i="56"/>
  <c r="J352" i="56"/>
  <c r="J346" i="56"/>
  <c r="J341" i="56"/>
  <c r="J340" i="56"/>
  <c r="J339" i="56"/>
  <c r="J338" i="56"/>
  <c r="J337" i="56"/>
  <c r="J336" i="56"/>
  <c r="J332" i="56"/>
  <c r="J331" i="56"/>
  <c r="J330" i="56"/>
  <c r="J329" i="56"/>
  <c r="J328" i="56"/>
  <c r="J321" i="56"/>
  <c r="J320" i="56"/>
  <c r="J319" i="56"/>
  <c r="J318" i="56"/>
  <c r="J306" i="56"/>
  <c r="J305" i="56"/>
  <c r="J304" i="56"/>
  <c r="J303" i="56"/>
  <c r="J302" i="56"/>
  <c r="J301" i="56"/>
  <c r="J300" i="56"/>
  <c r="J299" i="56"/>
  <c r="J298" i="56"/>
  <c r="J287" i="56"/>
  <c r="J277" i="56"/>
  <c r="J276" i="56"/>
  <c r="J275" i="56"/>
  <c r="J274" i="56"/>
  <c r="J270" i="56"/>
  <c r="J269" i="56"/>
  <c r="J268" i="56"/>
  <c r="J267" i="56"/>
  <c r="J262" i="56"/>
  <c r="J261" i="56"/>
  <c r="J260" i="56"/>
  <c r="J252" i="56"/>
  <c r="J251" i="56"/>
  <c r="J250" i="56"/>
  <c r="J249" i="56"/>
  <c r="J248" i="56"/>
  <c r="J247" i="56"/>
  <c r="J246" i="56"/>
  <c r="J245" i="56"/>
  <c r="J242" i="56"/>
  <c r="J241" i="56"/>
  <c r="J240" i="56"/>
  <c r="J239" i="56"/>
  <c r="J238" i="56"/>
  <c r="J237" i="56"/>
  <c r="J236" i="56"/>
  <c r="J235" i="56"/>
  <c r="J234" i="56"/>
  <c r="J233" i="56"/>
  <c r="J232" i="56"/>
  <c r="J231" i="56"/>
  <c r="J230" i="56"/>
  <c r="J229" i="56"/>
  <c r="J228" i="56"/>
  <c r="J227" i="56"/>
  <c r="J226" i="56"/>
  <c r="J225" i="56"/>
  <c r="J224" i="56"/>
  <c r="J223" i="56"/>
  <c r="J333" i="56" l="1"/>
  <c r="J364" i="56"/>
  <c r="J243" i="56"/>
  <c r="J253" i="56"/>
  <c r="J217" i="56"/>
  <c r="J216" i="56"/>
  <c r="J215" i="56"/>
  <c r="J214" i="56"/>
  <c r="J213" i="56"/>
  <c r="J212" i="56"/>
  <c r="J211" i="56"/>
  <c r="J210" i="56"/>
  <c r="J209" i="56"/>
  <c r="J208" i="56"/>
  <c r="J207" i="56"/>
  <c r="J203" i="56"/>
  <c r="J202" i="56"/>
  <c r="J201" i="56"/>
  <c r="J200" i="56"/>
  <c r="J199" i="56"/>
  <c r="J198" i="56"/>
  <c r="J197" i="56"/>
  <c r="J196" i="56"/>
  <c r="J195" i="56"/>
  <c r="J188" i="56"/>
  <c r="J187" i="56"/>
  <c r="J186" i="56"/>
  <c r="J185" i="56"/>
  <c r="J184" i="56"/>
  <c r="J183" i="56"/>
  <c r="J182" i="56"/>
  <c r="J181" i="56"/>
  <c r="J180" i="56"/>
  <c r="J179" i="56"/>
  <c r="J175" i="56"/>
  <c r="J174" i="56"/>
  <c r="J173" i="56"/>
  <c r="J172" i="56"/>
  <c r="J171" i="56"/>
  <c r="J170" i="56"/>
  <c r="J169" i="56"/>
  <c r="J168" i="56"/>
  <c r="J167" i="56"/>
  <c r="J166" i="56"/>
  <c r="J165" i="56"/>
  <c r="J164" i="56"/>
  <c r="J163" i="56"/>
  <c r="J162" i="56"/>
  <c r="J161" i="56"/>
  <c r="J160" i="56"/>
  <c r="J159" i="56"/>
  <c r="J158" i="56"/>
  <c r="J157" i="56"/>
  <c r="J151" i="56"/>
  <c r="J150" i="56"/>
  <c r="J149" i="56"/>
  <c r="J145" i="56"/>
  <c r="J144" i="56"/>
  <c r="J143" i="56"/>
  <c r="J142" i="56"/>
  <c r="J141" i="56"/>
  <c r="J140" i="56"/>
  <c r="J139" i="56"/>
  <c r="J138" i="56"/>
  <c r="J137" i="56"/>
  <c r="J136" i="56"/>
  <c r="J135" i="56"/>
  <c r="J134" i="56"/>
  <c r="J127" i="56"/>
  <c r="D70" i="55" s="1"/>
  <c r="J117" i="56"/>
  <c r="J110" i="56"/>
  <c r="J95" i="56"/>
  <c r="J85" i="56"/>
  <c r="J84" i="56"/>
  <c r="J83" i="56"/>
  <c r="J82" i="56"/>
  <c r="J81" i="56"/>
  <c r="J80" i="56"/>
  <c r="J79" i="56"/>
  <c r="J78" i="56"/>
  <c r="J77" i="56"/>
  <c r="J76" i="56"/>
  <c r="J62" i="56"/>
  <c r="J61" i="56"/>
  <c r="J60" i="56"/>
  <c r="J59" i="56"/>
  <c r="J58" i="56"/>
  <c r="J57" i="56"/>
  <c r="J56" i="56"/>
  <c r="J55" i="56"/>
  <c r="J54" i="56"/>
  <c r="J53" i="56"/>
  <c r="J52" i="56"/>
  <c r="J51" i="56"/>
  <c r="J50" i="56"/>
  <c r="J49" i="56"/>
  <c r="J48" i="56"/>
  <c r="J44" i="56"/>
  <c r="J43" i="56"/>
  <c r="J39" i="56"/>
  <c r="J38" i="56"/>
  <c r="J31" i="56"/>
  <c r="J218" i="56" l="1"/>
  <c r="J189" i="56"/>
  <c r="J19" i="56"/>
  <c r="D46" i="55" l="1"/>
  <c r="J46" i="55" s="1"/>
  <c r="J113" i="61" l="1"/>
  <c r="J345" i="56" l="1"/>
  <c r="J347" i="56" s="1"/>
  <c r="J342" i="56"/>
  <c r="J284" i="56"/>
  <c r="D131" i="55" s="1"/>
  <c r="J131" i="55" s="1"/>
  <c r="J278" i="56"/>
  <c r="D128" i="55" s="1"/>
  <c r="J128" i="55" s="1"/>
  <c r="D66" i="55"/>
  <c r="J66" i="55" s="1"/>
  <c r="D63" i="55"/>
  <c r="J63" i="55" s="1"/>
  <c r="J70" i="55"/>
  <c r="J115" i="56"/>
  <c r="J108" i="56"/>
  <c r="J349" i="56" l="1"/>
  <c r="D175" i="55" s="1"/>
  <c r="J264" i="56"/>
  <c r="D113" i="55" s="1"/>
  <c r="J113" i="55" s="1"/>
  <c r="J271" i="56"/>
  <c r="D123" i="55" s="1"/>
  <c r="J123" i="55" s="1"/>
  <c r="J293" i="56"/>
  <c r="J295" i="56" s="1"/>
  <c r="J307" i="56"/>
  <c r="D138" i="55" s="1"/>
  <c r="J138" i="55" s="1"/>
  <c r="J322" i="56"/>
  <c r="D158" i="55" s="1"/>
  <c r="J158" i="55" s="1"/>
  <c r="D169" i="55"/>
  <c r="J367" i="56"/>
  <c r="D191" i="55" s="1"/>
  <c r="J146" i="56"/>
  <c r="J204" i="56"/>
  <c r="J220" i="56" s="1"/>
  <c r="J152" i="56"/>
  <c r="J176" i="56"/>
  <c r="J74" i="56"/>
  <c r="J33" i="56"/>
  <c r="J35" i="56" s="1"/>
  <c r="D12" i="55" s="1"/>
  <c r="J309" i="56" l="1"/>
  <c r="D141" i="55" s="1"/>
  <c r="J141" i="55" s="1"/>
  <c r="J255" i="56"/>
  <c r="J315" i="56" s="1"/>
  <c r="D154" i="55" s="1"/>
  <c r="J154" i="55" s="1"/>
  <c r="J191" i="56"/>
  <c r="D101" i="55" s="1"/>
  <c r="J101" i="55" s="1"/>
  <c r="J154" i="56"/>
  <c r="D95" i="55" s="1"/>
  <c r="J95" i="55" s="1"/>
  <c r="D136" i="55"/>
  <c r="J136" i="55" s="1"/>
  <c r="J45" i="56"/>
  <c r="D19" i="55" s="1"/>
  <c r="J19" i="55" s="1"/>
  <c r="J63" i="56"/>
  <c r="D25" i="55" s="1"/>
  <c r="J25" i="55" s="1"/>
  <c r="J86" i="56"/>
  <c r="J88" i="56" s="1"/>
  <c r="D39" i="55" s="1"/>
  <c r="J39" i="55" s="1"/>
  <c r="J40" i="56"/>
  <c r="J17" i="56"/>
  <c r="J72" i="55" l="1"/>
  <c r="J257" i="56"/>
  <c r="D104" i="55" s="1"/>
  <c r="J104" i="55" s="1"/>
  <c r="J312" i="56"/>
  <c r="D147" i="55" s="1"/>
  <c r="J147" i="55" s="1"/>
  <c r="J160" i="55" l="1"/>
  <c r="H30" i="59"/>
</calcChain>
</file>

<file path=xl/sharedStrings.xml><?xml version="1.0" encoding="utf-8"?>
<sst xmlns="http://schemas.openxmlformats.org/spreadsheetml/2006/main" count="1493" uniqueCount="766">
  <si>
    <t>ASSISTANT ENGINEER</t>
  </si>
  <si>
    <t>Karachi.</t>
  </si>
  <si>
    <t>Sub-Engineer</t>
  </si>
  <si>
    <t>NAME OF WORK:-</t>
  </si>
  <si>
    <t>P.Sft</t>
  </si>
  <si>
    <t>S.NO.</t>
  </si>
  <si>
    <t>NAME OF WORK =&gt;</t>
  </si>
  <si>
    <t>/</t>
  </si>
  <si>
    <t>Sft</t>
  </si>
  <si>
    <t>/-</t>
  </si>
  <si>
    <t>Unit.</t>
  </si>
  <si>
    <t>Amount.</t>
  </si>
  <si>
    <t>Rate.</t>
  </si>
  <si>
    <t>Quantity</t>
  </si>
  <si>
    <t>ITEM OF WORK.</t>
  </si>
  <si>
    <t>S.No.</t>
  </si>
  <si>
    <t>MEASUREMENT SHEET.</t>
  </si>
  <si>
    <t>Description of Item</t>
  </si>
  <si>
    <t>NO.  L.  B.  D.</t>
  </si>
  <si>
    <t>SI) Total</t>
  </si>
  <si>
    <t>FACE SHEET</t>
  </si>
  <si>
    <t>Fund Head</t>
  </si>
  <si>
    <t>Provincial</t>
  </si>
  <si>
    <t>Major Head:-</t>
  </si>
  <si>
    <t>SC-21020   SC-24020</t>
  </si>
  <si>
    <t>Minor Head:-</t>
  </si>
  <si>
    <t>Building &amp; Structure</t>
  </si>
  <si>
    <t>Service Head:-</t>
  </si>
  <si>
    <t>Deptt: Head:-</t>
  </si>
  <si>
    <t>Amount:-</t>
  </si>
  <si>
    <t>Rs. 4,84,000/-</t>
  </si>
  <si>
    <t>S.No</t>
  </si>
  <si>
    <t>Financial Year</t>
  </si>
  <si>
    <t>2009-10</t>
  </si>
  <si>
    <t>2010-11</t>
  </si>
  <si>
    <t>2011-12</t>
  </si>
  <si>
    <t xml:space="preserve"> </t>
  </si>
  <si>
    <t>Release</t>
  </si>
  <si>
    <t>Expenditure</t>
  </si>
  <si>
    <t>5000000/-</t>
  </si>
  <si>
    <t>807015/-</t>
  </si>
  <si>
    <t>3150000/-</t>
  </si>
  <si>
    <t>Repair &amp; maintenance</t>
  </si>
  <si>
    <t xml:space="preserve">                 The estimate has been framed in the office of the Executive Engineer Provincial Buildings Division-III, Karachi for the probable expenditure that will be incurred in the current financial year.</t>
  </si>
  <si>
    <t xml:space="preserve">                 The work will be carried out as per P.W.D specification through Government approved contractors of Buildings Department government of Sindh.                           </t>
  </si>
  <si>
    <t xml:space="preserve">                  The estimate has been prepared as per demand / requirement of occupants of Humayoon House Garden West  Karachi and the same is submitted for technical sanction. Further it is submitted that the funds to teh tune of Rs:___________ million avalible and  permission for N.I.T. recorded vide Superintending Engineer Provincial Buildings Circle Karachi letter No. PBC/GC-3042, Dated 11-10-2012.</t>
  </si>
  <si>
    <r>
      <t xml:space="preserve">M&amp;R TO HUMAYOON HOUSE GARDEN WEST KARACHI. </t>
    </r>
    <r>
      <rPr>
        <sz val="12"/>
        <rFont val="Arial"/>
        <family val="2"/>
      </rPr>
      <t>Colouring, Painting, watersupply, sanitary fittings &amp; Misc: works in different flats of (7th &amp; 8th Floor)</t>
    </r>
  </si>
  <si>
    <t>SPECIFICATION</t>
  </si>
  <si>
    <t>GENERAL DESCRIPTION</t>
  </si>
  <si>
    <t>(i) Schedule Item</t>
  </si>
  <si>
    <t>Part A(i)Total</t>
  </si>
  <si>
    <t>Part "A-ii" NSI)Total</t>
  </si>
  <si>
    <t>KARACHI.</t>
  </si>
  <si>
    <t>EXECUTIVE  ENGINEER</t>
  </si>
  <si>
    <t>ASSISTANT  ENGINEER</t>
  </si>
  <si>
    <t>G.Total Rs</t>
  </si>
  <si>
    <t>Non Schedule Items</t>
  </si>
  <si>
    <t>(ii)</t>
  </si>
  <si>
    <t>Schedule Items</t>
  </si>
  <si>
    <t>(i)</t>
  </si>
  <si>
    <t>Cost of Constt:</t>
  </si>
  <si>
    <t>Name of Component</t>
  </si>
  <si>
    <t>S. No</t>
  </si>
  <si>
    <t>GENERAL ABSTRACT</t>
  </si>
  <si>
    <t>Provincial Buildins Sub Division-VII</t>
  </si>
  <si>
    <t>Provincial Buildins Division-II</t>
  </si>
  <si>
    <t>Provincial Building Sub-Division No.VII</t>
  </si>
  <si>
    <t>Deduction:</t>
  </si>
  <si>
    <t>% Sft</t>
  </si>
  <si>
    <t>EXECUTIVE ENGINEER</t>
  </si>
  <si>
    <t>Prov: Bldg Sub-Division.VII</t>
  </si>
  <si>
    <t>Provincial Building Division-II</t>
  </si>
  <si>
    <t>"  "</t>
  </si>
  <si>
    <t>Cement Plaster 1:4 upto 12' Height.</t>
  </si>
  <si>
    <t>(c ) 3/4" thick (S.I.No.13(c)/P-52</t>
  </si>
  <si>
    <t>PART (A)Foundation</t>
  </si>
  <si>
    <t>Excavation in foundation of building</t>
  </si>
  <si>
    <t xml:space="preserve">A- Footrings </t>
  </si>
  <si>
    <t>Cf-1</t>
  </si>
  <si>
    <t>Cf-2</t>
  </si>
  <si>
    <t>1x11.50x6.0</t>
  </si>
  <si>
    <t>(A) For Cubical Content</t>
  </si>
  <si>
    <t>Cft</t>
  </si>
  <si>
    <t>B) Below Outer P.Beam</t>
  </si>
  <si>
    <t>1x6.0x2.50</t>
  </si>
  <si>
    <t>GridE 1-3</t>
  </si>
  <si>
    <t>(B) For Cubical Content</t>
  </si>
  <si>
    <t>150.00 x 1.50</t>
  </si>
  <si>
    <t>G.Total A+B</t>
  </si>
  <si>
    <t>Cutting Hard Rock such as granite ballast</t>
  </si>
  <si>
    <t>Qty of Item No. 1-A</t>
  </si>
  <si>
    <t>Qty of Item No.1-B</t>
  </si>
  <si>
    <t>Cement Concrete Brick / Stone Ballast 1:4:8</t>
  </si>
  <si>
    <t>P/L C.C 1:3:6 Solid Block Masonry in foundation</t>
  </si>
  <si>
    <t>Grid A 2-4</t>
  </si>
  <si>
    <t>Grid E 1-3</t>
  </si>
  <si>
    <t>Grid 1 C-E</t>
  </si>
  <si>
    <t>Ent: Steps</t>
  </si>
  <si>
    <t>"</t>
  </si>
  <si>
    <t>R.C.C Work i/c all labour Ratio 1:2:4</t>
  </si>
  <si>
    <t>A Footrings CF-1</t>
  </si>
  <si>
    <t>B-Plinth Beam - 1</t>
  </si>
  <si>
    <t>"   "   2</t>
  </si>
  <si>
    <t>"   "   3</t>
  </si>
  <si>
    <t>"   "   4</t>
  </si>
  <si>
    <t>"   "   5</t>
  </si>
  <si>
    <t>"   "   6</t>
  </si>
  <si>
    <t>"   "   7</t>
  </si>
  <si>
    <t>"   "   8</t>
  </si>
  <si>
    <t>"   "   9</t>
  </si>
  <si>
    <t>"   "   10</t>
  </si>
  <si>
    <t xml:space="preserve">Fabrication of mild steel </t>
  </si>
  <si>
    <t xml:space="preserve">As per bar bending schedule </t>
  </si>
  <si>
    <t xml:space="preserve">Filling watering ramming earth with </t>
  </si>
  <si>
    <t>surplus earth</t>
  </si>
  <si>
    <t>2/3 rd qty of item no. 01</t>
  </si>
  <si>
    <t>new earth</t>
  </si>
  <si>
    <t>Bed Room</t>
  </si>
  <si>
    <t>1x16.0x12.0</t>
  </si>
  <si>
    <t>Bath</t>
  </si>
  <si>
    <t>Lounge</t>
  </si>
  <si>
    <t>Kitchen</t>
  </si>
  <si>
    <t>For Cubical Content</t>
  </si>
  <si>
    <t>Qty same as Item No. 03</t>
  </si>
  <si>
    <t>Qty same as Item No. 05/A</t>
  </si>
  <si>
    <t>P/L 1 1/2" thick C.C Topping 1:2:4</t>
  </si>
  <si>
    <t>Cement Plaster 1:4 3/4" thick</t>
  </si>
  <si>
    <t>Over Plinth</t>
  </si>
  <si>
    <t>PART B GROUND FLOOR</t>
  </si>
  <si>
    <t>Fabrication ofmild steel Tor Bars</t>
  </si>
  <si>
    <t>As per Bar Bending Schedule Attached</t>
  </si>
  <si>
    <t>R.C.C Work i/c labour ratio 1:2:4</t>
  </si>
  <si>
    <t>Coloumns</t>
  </si>
  <si>
    <t>RC-1</t>
  </si>
  <si>
    <t>RB-2\</t>
  </si>
  <si>
    <t>RB-3</t>
  </si>
  <si>
    <t>RB-4</t>
  </si>
  <si>
    <t>RB-5</t>
  </si>
  <si>
    <t>RB-6</t>
  </si>
  <si>
    <t>RB-7</t>
  </si>
  <si>
    <t>RB-8</t>
  </si>
  <si>
    <t>RB-9</t>
  </si>
  <si>
    <t>RB-10</t>
  </si>
  <si>
    <t>Roof offsets B/S</t>
  </si>
  <si>
    <t>"   "   L/S</t>
  </si>
  <si>
    <t>"  "  F/S</t>
  </si>
  <si>
    <t xml:space="preserve">P/L C.C 1:3:6 Block Masonry 6" &amp; </t>
  </si>
  <si>
    <t>Below in thickness</t>
  </si>
  <si>
    <t>Back Side</t>
  </si>
  <si>
    <t>1x8.50x0.50x7.17</t>
  </si>
  <si>
    <t>1x16.0x0.50x7.17</t>
  </si>
  <si>
    <t>3x5.0x0.50x7.17</t>
  </si>
  <si>
    <t>Left Side</t>
  </si>
  <si>
    <t>D1</t>
  </si>
  <si>
    <t>D2</t>
  </si>
  <si>
    <t>D3</t>
  </si>
  <si>
    <t>D4</t>
  </si>
  <si>
    <t>W1</t>
  </si>
  <si>
    <t>W2</t>
  </si>
  <si>
    <t>W3</t>
  </si>
  <si>
    <t>Cement Plaster 1:4 (3/4" thick)</t>
  </si>
  <si>
    <t>A-Internal plaster</t>
  </si>
  <si>
    <t>Baths</t>
  </si>
  <si>
    <t>1x2(16.0+12.0)x10.0</t>
  </si>
  <si>
    <t>B-External Plaster</t>
  </si>
  <si>
    <t>"   "</t>
  </si>
  <si>
    <t>Right Side</t>
  </si>
  <si>
    <t>Front Side</t>
  </si>
  <si>
    <t xml:space="preserve"> "   "</t>
  </si>
  <si>
    <t>1x8.50x10.50</t>
  </si>
  <si>
    <t>1x17.0x10.50</t>
  </si>
  <si>
    <t>Total B</t>
  </si>
  <si>
    <t>Total A</t>
  </si>
  <si>
    <t>P/F G.I Frame / Chowkhat for Doors</t>
  </si>
  <si>
    <t>Rft</t>
  </si>
  <si>
    <t>P/F inposition Doors Windows Ventilators</t>
  </si>
  <si>
    <t>sft</t>
  </si>
  <si>
    <t>1x5.0x7.0</t>
  </si>
  <si>
    <t>P/F Sunk Iron Screws Wooden Architrative</t>
  </si>
  <si>
    <t>P/F Approved quality Mortice Lock</t>
  </si>
  <si>
    <t>Nos</t>
  </si>
  <si>
    <t>P/L C.C Topping 1:2:4 2" thick</t>
  </si>
  <si>
    <t>Over Roof</t>
  </si>
  <si>
    <t>Offsets</t>
  </si>
  <si>
    <t>Total</t>
  </si>
  <si>
    <t>Priming Coat of Chalk under distemper</t>
  </si>
  <si>
    <t>" Bath</t>
  </si>
  <si>
    <t>Distempering three Coats</t>
  </si>
  <si>
    <t>Qty same as Item No. 01</t>
  </si>
  <si>
    <t>Preparing Surface &amp; painting with emulsion Paint</t>
  </si>
  <si>
    <t>Qty same as Sch Item No.4-A</t>
  </si>
  <si>
    <t>Preparing the surface &amp; painting with weather Coat</t>
  </si>
  <si>
    <t>Qty same as Sch Item No.4-B</t>
  </si>
  <si>
    <t>Preparing the surface painting doors &amp; windows</t>
  </si>
  <si>
    <t>Part C Non Schedule Item</t>
  </si>
  <si>
    <t>S/F inposition Aluminum channel framing</t>
  </si>
  <si>
    <t>for sliding windows</t>
  </si>
  <si>
    <t>P/F Glazed Tiles 18" 12" size</t>
  </si>
  <si>
    <t>Bath Floor</t>
  </si>
  <si>
    <t>" Wall</t>
  </si>
  <si>
    <t>3x1x2.50x7.0</t>
  </si>
  <si>
    <t>1x1x16.0x12.0</t>
  </si>
  <si>
    <t>1x2(16.0+12.0)x0.50</t>
  </si>
  <si>
    <t>Lounge Floor</t>
  </si>
  <si>
    <t>P/F Iron Steel Grill using solid square Bars</t>
  </si>
  <si>
    <t>1 x 1</t>
  </si>
  <si>
    <t>BAR BENDING SCHEDULE</t>
  </si>
  <si>
    <t>PART A FOUNDATION</t>
  </si>
  <si>
    <t>A- Footring</t>
  </si>
  <si>
    <t>CF-1 T &amp; B 5/8 "</t>
  </si>
  <si>
    <t>T &amp; B 5/8" dia</t>
  </si>
  <si>
    <t>CF1 T&amp;B 5/8" dia</t>
  </si>
  <si>
    <t>CF2 T &amp; B 5/8" dia</t>
  </si>
  <si>
    <t>Pedestal C1 5/8" dia</t>
  </si>
  <si>
    <t>1x2x13.50x0.667</t>
  </si>
  <si>
    <t>1x2x12.50x0.667</t>
  </si>
  <si>
    <t>1x4x25.0x1.042</t>
  </si>
  <si>
    <t>1x40x5.0x0.375</t>
  </si>
  <si>
    <t>Rings 3/8" dia</t>
  </si>
  <si>
    <t>Plinth B-2 T &amp; B 5/8" dia</t>
  </si>
  <si>
    <t>Plinth B-3 T &amp; B 5/8" dia</t>
  </si>
  <si>
    <t>Plinth B-4 T &amp; B 5/8" dia</t>
  </si>
  <si>
    <t>Extra 1/2" dia</t>
  </si>
  <si>
    <t>Plinth B-5 T &amp; B 5/8" dia</t>
  </si>
  <si>
    <t>Plinth b-6 T&amp;B 5/8" dia</t>
  </si>
  <si>
    <t>Plinth B7 T &amp; B 5/8" dia</t>
  </si>
  <si>
    <t>Plinth b-8 T&amp;B 5/8" dia</t>
  </si>
  <si>
    <t>Plinth B-9 T &amp; B 5/8" dia</t>
  </si>
  <si>
    <t>Plinth B-10 T &amp; B 5/8" dia</t>
  </si>
  <si>
    <t>Ground Floor</t>
  </si>
  <si>
    <t>Rings</t>
  </si>
  <si>
    <t>Cloumns 5/8" dia</t>
  </si>
  <si>
    <t>1x42x9.0x0.375</t>
  </si>
  <si>
    <t>2x10x2.50x0.375</t>
  </si>
  <si>
    <t>1x38x17.50x0.667</t>
  </si>
  <si>
    <t>1x10x2.50x0.375</t>
  </si>
  <si>
    <t>RB-1 T &amp; B 5/8" dia</t>
  </si>
  <si>
    <t xml:space="preserve">Mid </t>
  </si>
  <si>
    <t xml:space="preserve">Rings </t>
  </si>
  <si>
    <t>RB-2 T &amp; B 5/8" dia</t>
  </si>
  <si>
    <t>Mid 1/2" dia</t>
  </si>
  <si>
    <t>RB-3 T &amp; B 5/8" dia</t>
  </si>
  <si>
    <t>Extra</t>
  </si>
  <si>
    <t>Mid</t>
  </si>
  <si>
    <t>RB--4 T&amp;B 5/8" dia</t>
  </si>
  <si>
    <t>RB-5 T&amp;B 5/8" dia</t>
  </si>
  <si>
    <t>RB-6 T&amp;B 5/8" dia</t>
  </si>
  <si>
    <t>RB-7 T&amp;B 5/8" dia</t>
  </si>
  <si>
    <t>RB-8 T&amp;B 5/8" dia</t>
  </si>
  <si>
    <t>RB-9 T&amp;B 5/8" dia</t>
  </si>
  <si>
    <t>RB-10 T&amp;B 5/8" dia</t>
  </si>
  <si>
    <t>Dist 1/2" dia</t>
  </si>
  <si>
    <t>Lbs</t>
  </si>
  <si>
    <t>Cwt</t>
  </si>
  <si>
    <t xml:space="preserve">Excavation in foundation of building </t>
  </si>
  <si>
    <t xml:space="preserve">Bridges and Other structure including </t>
  </si>
  <si>
    <t xml:space="preserve">Dagbelling dressing,refilling around </t>
  </si>
  <si>
    <t>structure with excavated earth watering</t>
  </si>
  <si>
    <t>and ramming lead upto 5 ft</t>
  </si>
  <si>
    <t>% 0 Cft</t>
  </si>
  <si>
    <t>(b) In ordinary soil.</t>
  </si>
  <si>
    <t xml:space="preserve">Cutting hard rock such as granite, ballast, </t>
  </si>
  <si>
    <t xml:space="preserve">hard lime stone or sand stone etc. with </t>
  </si>
  <si>
    <t>chisels and hammers for small foundations.</t>
  </si>
  <si>
    <t>Cement concrete brick or stone ballast 1-1/2" to</t>
  </si>
  <si>
    <t>2" guage Ratio 1:4:8 (S.I.No.4(b)P-15).</t>
  </si>
  <si>
    <t>%Cft</t>
  </si>
  <si>
    <t xml:space="preserve">Providing and laying 1 :3 : 6  Cement </t>
  </si>
  <si>
    <t xml:space="preserve">concrete solid Block masorany set in </t>
  </si>
  <si>
    <t xml:space="preserve">1 :6 cement sand mortar in plinth and </t>
  </si>
  <si>
    <t xml:space="preserve">foundation in cluding raking out joints </t>
  </si>
  <si>
    <t>and curing etc. complete.(S.I.22/P-19)</t>
  </si>
  <si>
    <t>% Cft</t>
  </si>
  <si>
    <t>R.C.C work including all labour and material</t>
  </si>
  <si>
    <t xml:space="preserve">except the cost of steel reinforcement and its </t>
  </si>
  <si>
    <t xml:space="preserve">labour for bending and binding which will be </t>
  </si>
  <si>
    <t>paid separatelt.  This rate also includeda all</t>
  </si>
  <si>
    <t xml:space="preserve">kind of forms moulds lifting shuttering curring </t>
  </si>
  <si>
    <t>rendering and finishing the exposed surface</t>
  </si>
  <si>
    <t>including screeening and washing of shingle.</t>
  </si>
  <si>
    <t xml:space="preserve">(a) RCC work in roof slab, beams columns </t>
  </si>
  <si>
    <t xml:space="preserve">rafts lintels and other structural member laid </t>
  </si>
  <si>
    <t xml:space="preserve">in situ or precast laid in position complete in </t>
  </si>
  <si>
    <t>all respect (I) Ratio 1:2:4 90 Lbs. Cement 2 Cft.</t>
  </si>
  <si>
    <t>Sand 4Cft. Shingle 1/8" to 1/4" guage.</t>
  </si>
  <si>
    <t>(S.I.No. 6-a-i P-18).</t>
  </si>
  <si>
    <t>P.Cft.</t>
  </si>
  <si>
    <t xml:space="preserve">Fabrication of Miled steel reinforcement for </t>
  </si>
  <si>
    <t xml:space="preserve">cement concrete including cutting bendidng </t>
  </si>
  <si>
    <t>laying in position making joints and fastening</t>
  </si>
  <si>
    <t>including cost of binding wire also I/c removal</t>
  </si>
  <si>
    <t>of rust from Bars.(a) Using for Tor Bars.</t>
  </si>
  <si>
    <t>(S.I.No. 7-b P-20)</t>
  </si>
  <si>
    <t>P.Cwt</t>
  </si>
  <si>
    <t xml:space="preserve">Filling, watering and ramming earth in floors with </t>
  </si>
  <si>
    <t xml:space="preserve">surplus earth from foundation lead upto </t>
  </si>
  <si>
    <t>one chain  and lift upto 5 feet. (SI.21/P-4)</t>
  </si>
  <si>
    <t>Filling, watering and ramming earth under floor</t>
  </si>
  <si>
    <t xml:space="preserve"> with new earth (Excavated  from outside) lead </t>
  </si>
  <si>
    <t xml:space="preserve">upto one chain and lift upto 5 feet. (SI.22/P4) </t>
  </si>
  <si>
    <t>Extra lead 21.00 Miles (771.96+32.56x15</t>
  </si>
  <si>
    <t xml:space="preserve">=1260.36  P%Cft </t>
  </si>
  <si>
    <t xml:space="preserve">For 1000 Cft 12603.60 + composite rate </t>
  </si>
  <si>
    <t>of schedule 12603.60 + 3630 = 16233.60 P%Cft)</t>
  </si>
  <si>
    <t xml:space="preserve">Cement concrete brick or stone ballast </t>
  </si>
  <si>
    <t xml:space="preserve">1 1/2" to 2" gauge. (c) Ratio 1 : 5 : 10 </t>
  </si>
  <si>
    <t>(SI.4(c)/P-17)</t>
  </si>
  <si>
    <t xml:space="preserve">Providing and laying 1" thick topping cement </t>
  </si>
  <si>
    <t xml:space="preserve">concrete (1:2:4 ) including Surface finishing </t>
  </si>
  <si>
    <t xml:space="preserve">and dividiing into panels: </t>
  </si>
  <si>
    <t>(a) 2" thick.(S.I.No. 16-c/P.42)</t>
  </si>
  <si>
    <t xml:space="preserve">P/L 1:3:6 cement concrete solid block </t>
  </si>
  <si>
    <t xml:space="preserve">masonry wall above 6" in thickness set </t>
  </si>
  <si>
    <t>in 1:6 cement mortar in G.Floor superstructure</t>
  </si>
  <si>
    <t xml:space="preserve">including raking out joints &amp; curing etc </t>
  </si>
  <si>
    <t>complete. (S.I.No.24/P-19)</t>
  </si>
  <si>
    <t xml:space="preserve">P/F G.I frames / choukhats of size </t>
  </si>
  <si>
    <t>7" x 2" or 41/2" x 3" for door using 20</t>
  </si>
  <si>
    <t>guage G.I sheet i/c welded hinges and</t>
  </si>
  <si>
    <t>fixing at site with necessary hold fasts</t>
  </si>
  <si>
    <t>filling with cement sand slurry of ratio 1:6</t>
  </si>
  <si>
    <t>and repairing the jambs  the cost also</t>
  </si>
  <si>
    <t>i/c all carraige tools and plants used in</t>
  </si>
  <si>
    <t>making &amp; fixing. (S.I.No.29/P-93)</t>
  </si>
  <si>
    <t>P.Rft</t>
  </si>
  <si>
    <t xml:space="preserve">Providing and fixing in position doors, windows </t>
  </si>
  <si>
    <t xml:space="preserve">and ventilators of 1st. Class deodar wood frames </t>
  </si>
  <si>
    <t xml:space="preserve">and 1-1/2" thick Teak wood ply shutters of 2nd </t>
  </si>
  <si>
    <t xml:space="preserve">class deodar wood skeleton (solid ) styles and </t>
  </si>
  <si>
    <t xml:space="preserve">rails core of partal wood and Teak ply wood </t>
  </si>
  <si>
    <t xml:space="preserve">(3-ply) on both sidei/c hold fasts, hinges, iron </t>
  </si>
  <si>
    <t xml:space="preserve">tower blts, handles and cleats with cord etc. </t>
  </si>
  <si>
    <t>complete. (S.I.No. 58 P-65) .(without frame).</t>
  </si>
  <si>
    <t>(1077/06  (-) 370/83  =  706/23)</t>
  </si>
  <si>
    <t xml:space="preserve">Providing and fixing with sunk iron screws  </t>
  </si>
  <si>
    <t>wooden Architrave approved design/ shape having</t>
  </si>
  <si>
    <t>width not less than 2- 1/2  inches as directed</t>
  </si>
  <si>
    <t xml:space="preserve"> by Engineer Incharge.</t>
  </si>
  <si>
    <t xml:space="preserve">Providing and fixing approved quality mortice </t>
  </si>
  <si>
    <t>lock.(S.I N0.21 P-60)</t>
  </si>
  <si>
    <t>Each</t>
  </si>
  <si>
    <t>Priming coat of chalk distemper.</t>
  </si>
  <si>
    <t>(S.I.No. 24-b P-54).</t>
  </si>
  <si>
    <t>%Sft</t>
  </si>
  <si>
    <t>Distempering. Three coats.</t>
  </si>
  <si>
    <t xml:space="preserve">Preparing the surface and painting with </t>
  </si>
  <si>
    <t xml:space="preserve">plastic emulsion paint of approved make I/c </t>
  </si>
  <si>
    <t xml:space="preserve">rubbing the surface with sand Paper, </t>
  </si>
  <si>
    <t xml:space="preserve">filling the voids with chalk / plaster of paris and then </t>
  </si>
  <si>
    <t>painting etc. complete.2nd &amp; Subsequent Coat</t>
  </si>
  <si>
    <t>weather coat i/c rubbing the surface with</t>
  </si>
  <si>
    <t>rubbing brick / sand paper, filling the voids</t>
  </si>
  <si>
    <t xml:space="preserve">with chalk / plaster of paris and then </t>
  </si>
  <si>
    <t xml:space="preserve">painting with approved make. (b) 2nd </t>
  </si>
  <si>
    <t>subsequent coat(S.I.No.38(a+b+b)/P-56)</t>
  </si>
  <si>
    <t>Preparing new surface © Painting to doors</t>
  </si>
  <si>
    <t>and windows any type (including edges in</t>
  </si>
  <si>
    <t>three coats (S.I.No. 5-c(I+ii+iii P-67).</t>
  </si>
  <si>
    <t>%Sft.</t>
  </si>
  <si>
    <t xml:space="preserve">Supplying and fixing in position Aluminum  </t>
  </si>
  <si>
    <t xml:space="preserve">channels framing for sliding windows &amp; ventilators of </t>
  </si>
  <si>
    <t xml:space="preserve">Lucky or equivalent made with 5mm thick tinted glass </t>
  </si>
  <si>
    <t xml:space="preserve">glazing (Belgium) and aluminum fly screen, handles, </t>
  </si>
  <si>
    <t xml:space="preserve">stoppers and locking arrangement etc complete.  (b) </t>
  </si>
  <si>
    <t>Deluxe Model (Bronze of Champion color)  (R.A)</t>
  </si>
  <si>
    <t xml:space="preserve">Part C Non Schedule Item </t>
  </si>
  <si>
    <t xml:space="preserve">jointed with cement &amp; laid  over bed of 3/4" thick grey </t>
  </si>
  <si>
    <t xml:space="preserve">cement mortar ratio 1:3 i/c washing filling of joints </t>
  </si>
  <si>
    <t>with matching colour groute complete in all respect.</t>
  </si>
  <si>
    <t xml:space="preserve">P/F Glazed tile 18"x12"x3/8" or 10"x13"x3/8" thick </t>
  </si>
  <si>
    <t>(Imported or equivalent as directed by the E.I</t>
  </si>
  <si>
    <t xml:space="preserve">P/F Iron Steel Grill of solid square vertical bar </t>
  </si>
  <si>
    <t xml:space="preserve">3/8” x 3/8” at 4” center to center and ¾” x 1/4” </t>
  </si>
  <si>
    <t>flat patti at all around 6-Nos horizontal bar 3/8” x</t>
  </si>
  <si>
    <t xml:space="preserve"> 3/8” in/c red oxide paint and two coats of </t>
  </si>
  <si>
    <t>enemmelled paint to the grill at any height.</t>
  </si>
  <si>
    <t>Part "C" Non Schedule Item</t>
  </si>
  <si>
    <t>Part "B" Civil Works Ground Floor</t>
  </si>
  <si>
    <t>Part "A" Civil Works Foundation</t>
  </si>
  <si>
    <t>Chairs 3/8" dia</t>
  </si>
  <si>
    <t>CONSTRUCTION OF OFFICE HOSTEL RESIDENTIAL BUILDING FOR POULATION WELFARE TRAINING INSTITUTE (P.W.T.I) KARACHI CONSTRUCTION OF CATEGORY IIIRD BUNGLOW (2-NOS)</t>
  </si>
  <si>
    <t>1x53.50x7.0</t>
  </si>
  <si>
    <t>1x12.0x7.0</t>
  </si>
  <si>
    <t>1x53.50x6.0</t>
  </si>
  <si>
    <t>1x11.0x6.0</t>
  </si>
  <si>
    <t>2x17.50x5.0</t>
  </si>
  <si>
    <t>1090.0 x 1.50</t>
  </si>
  <si>
    <t>1x5.50x2.50</t>
  </si>
  <si>
    <t>1x5.0x2.50</t>
  </si>
  <si>
    <t>1x11.50x2.50</t>
  </si>
  <si>
    <t>1x9.0x2.50</t>
  </si>
  <si>
    <t>1x4.50x2.50</t>
  </si>
  <si>
    <t>Grid 4 A-B</t>
  </si>
  <si>
    <t>Grid 4 CE</t>
  </si>
  <si>
    <t>Grid2 A-B</t>
  </si>
  <si>
    <t>Grid2 B-C</t>
  </si>
  <si>
    <t>GridE 3-5</t>
  </si>
  <si>
    <t>Grid9 A-B</t>
  </si>
  <si>
    <t>Grid9 B-c a</t>
  </si>
  <si>
    <t>1090.0x3.50</t>
  </si>
  <si>
    <t>150.0x2.00</t>
  </si>
  <si>
    <t>1090.0x0.50</t>
  </si>
  <si>
    <t>150.0x0.50</t>
  </si>
  <si>
    <t>1x14.50x0.67x4.0</t>
  </si>
  <si>
    <t>1x7.0x0.67x4.0</t>
  </si>
  <si>
    <t>1x12.0x0.67x4.0</t>
  </si>
  <si>
    <t>1x6.50x0.67x4.0</t>
  </si>
  <si>
    <t>1x5.83x0.67x4.0</t>
  </si>
  <si>
    <t>1x13.83x0.67x4.0</t>
  </si>
  <si>
    <t>1x9.50x0.67x4.0</t>
  </si>
  <si>
    <t>1x11.83x0.67x4.0</t>
  </si>
  <si>
    <t>1x8.50x0.67x4.0</t>
  </si>
  <si>
    <t>1x9.0x0.67x4.0</t>
  </si>
  <si>
    <t>1x10.33x0.67x4.0</t>
  </si>
  <si>
    <t>1x10.50x0.67x4.0</t>
  </si>
  <si>
    <t>Grid A 4-5</t>
  </si>
  <si>
    <t>Grid A 5-7</t>
  </si>
  <si>
    <t>Grid A 7-9</t>
  </si>
  <si>
    <t>Grid E 3-4</t>
  </si>
  <si>
    <t>Grid E 4-6</t>
  </si>
  <si>
    <t>Grid E 6-8</t>
  </si>
  <si>
    <t>Grid 2 A-B</t>
  </si>
  <si>
    <t>Grid d B-D</t>
  </si>
  <si>
    <t>Grid 4 C-E</t>
  </si>
  <si>
    <t>Grid 9 A-B</t>
  </si>
  <si>
    <t>Grid 9 B-D</t>
  </si>
  <si>
    <t>1x52.50x6.0x1.75</t>
  </si>
  <si>
    <t>1x11.0x6.0x1.75</t>
  </si>
  <si>
    <t>1x52.50x5.0x1.50</t>
  </si>
  <si>
    <t>1x10.0x5.0x1.50</t>
  </si>
  <si>
    <t>1x10.50x5.0x1.50</t>
  </si>
  <si>
    <t>2x16.50x4.0x1.50</t>
  </si>
  <si>
    <t>8x2.0x0.67x3.75</t>
  </si>
  <si>
    <t>13x2.0x0.67x4.0</t>
  </si>
  <si>
    <t>Cf3</t>
  </si>
  <si>
    <t>Col C1</t>
  </si>
  <si>
    <t>4x15.83x0.67x2.0</t>
  </si>
  <si>
    <t>1x14.83x0.67x2.0</t>
  </si>
  <si>
    <t>1x30.33x0.67x2.0</t>
  </si>
  <si>
    <t>1x13.83x0.67x2.0</t>
  </si>
  <si>
    <t>1x21.83x0.67x2.0</t>
  </si>
  <si>
    <t>1x10.83x0.67x2.0</t>
  </si>
  <si>
    <t>3x11.83x0.67x2.0</t>
  </si>
  <si>
    <t>1x33.17x0.67x2.0</t>
  </si>
  <si>
    <t>1x20.0x0.67x2.0</t>
  </si>
  <si>
    <t>1x23.67x0.67x2.0</t>
  </si>
  <si>
    <t>1860.0x2/3</t>
  </si>
  <si>
    <t>Living</t>
  </si>
  <si>
    <t>kitchen</t>
  </si>
  <si>
    <t>Ent Hall</t>
  </si>
  <si>
    <t>1x15.0x11.0</t>
  </si>
  <si>
    <t>1x16.0x11.0</t>
  </si>
  <si>
    <t>1x11.0x8.0</t>
  </si>
  <si>
    <t>1x14.0x16.0</t>
  </si>
  <si>
    <t>1x5.50x10.50</t>
  </si>
  <si>
    <t>2x7.50x5.25</t>
  </si>
  <si>
    <t>1x5.50x7.50</t>
  </si>
  <si>
    <t>1215.0 x 3.0</t>
  </si>
  <si>
    <t>3645.0 - 2143.0</t>
  </si>
  <si>
    <t>4x6.0x10.0</t>
  </si>
  <si>
    <t>1x2(54.0+32.0)x3.0</t>
  </si>
  <si>
    <t>Cement Concrete brick stone ballast 1:5:10</t>
  </si>
  <si>
    <t>1215.0 x 0.33</t>
  </si>
  <si>
    <t>21x2.0x0.67x7.17</t>
  </si>
  <si>
    <t>4x15.83x0.67x3.50</t>
  </si>
  <si>
    <t>1x14.83x0.67x3.50</t>
  </si>
  <si>
    <t>1x30.33x0.67x3.50</t>
  </si>
  <si>
    <t>1x13.83x0.67x3.50</t>
  </si>
  <si>
    <t>1x21.83x0.67x3.50</t>
  </si>
  <si>
    <t>1x10.83x0.67x3.50</t>
  </si>
  <si>
    <t>3x11.83x0.67x3.50</t>
  </si>
  <si>
    <t>1x33.17x0.67x3.50</t>
  </si>
  <si>
    <t>1x20.0x0.67x3.50</t>
  </si>
  <si>
    <t>1x23.67x0.67x3.50</t>
  </si>
  <si>
    <t>1x54.0x32.25x0.50</t>
  </si>
  <si>
    <t>Roof Slab</t>
  </si>
  <si>
    <t>1x5.0x8.50x0.50</t>
  </si>
  <si>
    <t>1x7.0x11.50x0.50</t>
  </si>
  <si>
    <t>1x6.0x19.0x0.50</t>
  </si>
  <si>
    <t>H/W Living Room</t>
  </si>
  <si>
    <t>" B/S Bed Bath</t>
  </si>
  <si>
    <t>" B/W Baths</t>
  </si>
  <si>
    <t>2x16.0x0.50x7.17</t>
  </si>
  <si>
    <t>1x23.0x0.50x7.17</t>
  </si>
  <si>
    <t>1x7.50x0.50x7.17</t>
  </si>
  <si>
    <t>1x30.50x0.50x7.17</t>
  </si>
  <si>
    <t>1x11.0x0.50x7.17</t>
  </si>
  <si>
    <t>1x22.0x0.50x7.17</t>
  </si>
  <si>
    <t>1x5.50x0.50x7.17</t>
  </si>
  <si>
    <t>1x14.0x0.50x7.17</t>
  </si>
  <si>
    <t>1x13.0x0.50x7.17</t>
  </si>
  <si>
    <t>1x6.0x0.50x7.17</t>
  </si>
  <si>
    <t>1x32.0x0.50x7.17</t>
  </si>
  <si>
    <t>1x20.0x0.50x7.17</t>
  </si>
  <si>
    <t>2x11.0x0.50x7.17</t>
  </si>
  <si>
    <t>1x23.50x0.50x7.17</t>
  </si>
  <si>
    <t>B/W Room Lounge</t>
  </si>
  <si>
    <t xml:space="preserve">B/W Room Kitchen </t>
  </si>
  <si>
    <t>Kitchen F/S</t>
  </si>
  <si>
    <t>Bed B/S</t>
  </si>
  <si>
    <t>Bed Bath F/S</t>
  </si>
  <si>
    <t>" Lounge F/S</t>
  </si>
  <si>
    <t>V/W Lounge F/S</t>
  </si>
  <si>
    <t>Ent:</t>
  </si>
  <si>
    <t>" Bed L/S</t>
  </si>
  <si>
    <t>B/W Bed Bath</t>
  </si>
  <si>
    <t>B/W Lounge</t>
  </si>
  <si>
    <t>B/W Lounge Bed</t>
  </si>
  <si>
    <t>Bed Bath</t>
  </si>
  <si>
    <t>Bede Bath R/S</t>
  </si>
  <si>
    <t>Kitchen R/S</t>
  </si>
  <si>
    <t>5x3.0x0.50x7.17</t>
  </si>
  <si>
    <t>1x3.50x0.50x7.17</t>
  </si>
  <si>
    <t>1x5.0x0.50x7.17</t>
  </si>
  <si>
    <t>1x3.0x0.50x6.0</t>
  </si>
  <si>
    <t>1x4.0x0.50x3.50</t>
  </si>
  <si>
    <t>1x5.0x0.50x4.0</t>
  </si>
  <si>
    <t>4x4.50x0.50x4.0</t>
  </si>
  <si>
    <t>3x6.0x0.50x6.0</t>
  </si>
  <si>
    <t>W4</t>
  </si>
  <si>
    <t>W5</t>
  </si>
  <si>
    <t>V1</t>
  </si>
  <si>
    <t>3x2.0x0.50x2.0</t>
  </si>
  <si>
    <t>Living Room</t>
  </si>
  <si>
    <t xml:space="preserve">Entrance </t>
  </si>
  <si>
    <t>1x2(15.0+11.0)x10.0</t>
  </si>
  <si>
    <t>1x2(16.0+11.0)x10.0</t>
  </si>
  <si>
    <t>1x2(14.0+16.0)x10.0</t>
  </si>
  <si>
    <t>1x2(5.50+10.50)x10.0</t>
  </si>
  <si>
    <t>2x2(7.50+5.25)x3.50</t>
  </si>
  <si>
    <t>1x2(5.50+7.50)x3.50</t>
  </si>
  <si>
    <t>1x2(11.0+8.0)x5.50</t>
  </si>
  <si>
    <t>4x2x3.0x7.0</t>
  </si>
  <si>
    <t>1x1x3.0x7.0</t>
  </si>
  <si>
    <t>1x2x3.50x7.0</t>
  </si>
  <si>
    <t>1x1x5.0x7.0</t>
  </si>
  <si>
    <t>1x1x3.0x6.0</t>
  </si>
  <si>
    <t>1x1x4.0x3.50</t>
  </si>
  <si>
    <t>1x1x5.0x4.0</t>
  </si>
  <si>
    <t>4x1x6.0x4.0</t>
  </si>
  <si>
    <t>3x1x6.0x6.0</t>
  </si>
  <si>
    <t>3x1x2.0x2.0</t>
  </si>
  <si>
    <t>1x24.0x10.50</t>
  </si>
  <si>
    <t>1x7.0x10.50</t>
  </si>
  <si>
    <t>2x11.50x10.50</t>
  </si>
  <si>
    <t>2x13.0x10.50</t>
  </si>
  <si>
    <t>1x6.0x10.50</t>
  </si>
  <si>
    <t>1x8.0x10.50</t>
  </si>
  <si>
    <t>1x12.0x10.50</t>
  </si>
  <si>
    <t>1x23.50x10.50</t>
  </si>
  <si>
    <t>1x5.0x10.50</t>
  </si>
  <si>
    <t>"    "</t>
  </si>
  <si>
    <t xml:space="preserve">W1 Sides </t>
  </si>
  <si>
    <t>1x23.0x10.50</t>
  </si>
  <si>
    <t>1x14.0x10.50</t>
  </si>
  <si>
    <t>1x11.50x10.50</t>
  </si>
  <si>
    <t>2x3.50x10.50</t>
  </si>
  <si>
    <t>1x18.0x0.58</t>
  </si>
  <si>
    <t>1x14.0x0.58</t>
  </si>
  <si>
    <t>4x20.0x0.58</t>
  </si>
  <si>
    <t>3x24.0x0.58</t>
  </si>
  <si>
    <t>3x16.50</t>
  </si>
  <si>
    <t>5x17.0</t>
  </si>
  <si>
    <t>1x17.50</t>
  </si>
  <si>
    <t>1x19.0</t>
  </si>
  <si>
    <t>3x2.50x7.0</t>
  </si>
  <si>
    <t>5x3.0x7.0</t>
  </si>
  <si>
    <t>1x3.50x7.0</t>
  </si>
  <si>
    <t>3x2x16.50</t>
  </si>
  <si>
    <t>5x2x17.0</t>
  </si>
  <si>
    <t>1x2x17.50</t>
  </si>
  <si>
    <t>1x2x19.0</t>
  </si>
  <si>
    <t>5 x 1</t>
  </si>
  <si>
    <t>1x54.0x32.25</t>
  </si>
  <si>
    <t>1x5.0x8.50</t>
  </si>
  <si>
    <t>1x7.0x11.50</t>
  </si>
  <si>
    <t>1x6.0x19.0</t>
  </si>
  <si>
    <t>Celing Living</t>
  </si>
  <si>
    <t>" B&gt; Room</t>
  </si>
  <si>
    <t>Ent"</t>
  </si>
  <si>
    <t>1x5.25x7.50</t>
  </si>
  <si>
    <t>3x2x2.50x7.0</t>
  </si>
  <si>
    <t>5x2x3.0x7.0</t>
  </si>
  <si>
    <t>1x2x5.0x7.0</t>
  </si>
  <si>
    <t>1x3.0x6.0</t>
  </si>
  <si>
    <t>1x4.0x3.50</t>
  </si>
  <si>
    <t>1x5.0x4.0</t>
  </si>
  <si>
    <t>4x6.0x4.0</t>
  </si>
  <si>
    <t>3x6.0x6.0</t>
  </si>
  <si>
    <t>3x2.0x2.0</t>
  </si>
  <si>
    <t>2x1x7.50x5.25</t>
  </si>
  <si>
    <t>2x2(7.0+5.25)x7.0</t>
  </si>
  <si>
    <t>1x1x5.50x7.50</t>
  </si>
  <si>
    <t>1x2(5.50+7.50)x7.0</t>
  </si>
  <si>
    <t>1x2(11.0+8.0)x5.0</t>
  </si>
  <si>
    <t>Kitchen Floor</t>
  </si>
  <si>
    <t>Living Floor</t>
  </si>
  <si>
    <t>1x1x15.0x11.0</t>
  </si>
  <si>
    <t>1x2(15.0+11.0)x0.50</t>
  </si>
  <si>
    <t>Bed Floor</t>
  </si>
  <si>
    <t>bed Floor</t>
  </si>
  <si>
    <t>Ent Floor</t>
  </si>
  <si>
    <t>1x1x16.0x11.0</t>
  </si>
  <si>
    <t>1x2(16.0+11.0)x0.50</t>
  </si>
  <si>
    <t>1x1x14.0x16.0</t>
  </si>
  <si>
    <t>1x2(14.0+16.0)x0.50</t>
  </si>
  <si>
    <t>1x1x5.50x10.50</t>
  </si>
  <si>
    <t>1x2(5.50+10.50)x0.50</t>
  </si>
  <si>
    <t>1x2x160x7.50x1.042</t>
  </si>
  <si>
    <t>1x2x18x54.0x1.042</t>
  </si>
  <si>
    <t>1x2x33x7.50x1.042</t>
  </si>
  <si>
    <t>1x2x18x12.50x1.042</t>
  </si>
  <si>
    <t>1x2x160x6.50x1.042</t>
  </si>
  <si>
    <t>1x2x15x54.0x1.042</t>
  </si>
  <si>
    <t>1x2x30x6.50x1.042</t>
  </si>
  <si>
    <t>1x2x15x11.50x1.042</t>
  </si>
  <si>
    <t>1x2x32x6.50x1.042</t>
  </si>
  <si>
    <t>1x2x15x12.0x1.042</t>
  </si>
  <si>
    <t>2x2x50x5.50x1.042</t>
  </si>
  <si>
    <t>2x2x12x18.0x1.042</t>
  </si>
  <si>
    <t>21x8x11.0x1.042</t>
  </si>
  <si>
    <t>21x2x17x4.0x0.375</t>
  </si>
  <si>
    <t>CF3 T &amp; B 5/8" dia</t>
  </si>
  <si>
    <t>B=Plinth Beam</t>
  </si>
  <si>
    <t>Plinth B-1 T &amp; B 5/8" dia</t>
  </si>
  <si>
    <t>4x4x18.0x1.042</t>
  </si>
  <si>
    <t>4x2x16.50x0.667</t>
  </si>
  <si>
    <t>4x32x5.0x0.375</t>
  </si>
  <si>
    <t>1x2x23.50x0.667</t>
  </si>
  <si>
    <t>1x42x5.0x0.375</t>
  </si>
  <si>
    <t>1x4x32.50x1.042</t>
  </si>
  <si>
    <t>1x52x5.0x0.375</t>
  </si>
  <si>
    <t>1x5x15.0x1.042</t>
  </si>
  <si>
    <t>1x27x5.0x0.375</t>
  </si>
  <si>
    <t>1x4x24.0x1.042</t>
  </si>
  <si>
    <t>1x2x22.50x0.667</t>
  </si>
  <si>
    <t>Extra  1/2" dia</t>
  </si>
  <si>
    <t>1x4x23.50x1.042</t>
  </si>
  <si>
    <t>1x43x5.0x0.375</t>
  </si>
  <si>
    <t>3x4x13.50x1.042</t>
  </si>
  <si>
    <t>3x24x5.0x0.375</t>
  </si>
  <si>
    <t>1x4x33.0x1.042</t>
  </si>
  <si>
    <t>1x48x5.0x0.375</t>
  </si>
  <si>
    <t>1x4x21.50x1.042</t>
  </si>
  <si>
    <t>1x38x5.0x0.375</t>
  </si>
  <si>
    <t>1x4x24.50x1.042</t>
  </si>
  <si>
    <t>18437.47 / 112</t>
  </si>
  <si>
    <t>21x8x13.50x1.042</t>
  </si>
  <si>
    <t>21x2x22x4.0x0.375</t>
  </si>
  <si>
    <t>4x2x12.50x0.667</t>
  </si>
  <si>
    <t>4x32x9.0x0.375</t>
  </si>
  <si>
    <t>1x2x11.50x0.667</t>
  </si>
  <si>
    <t>1x2x31.0x0.667</t>
  </si>
  <si>
    <t>1x52x9.0x0.375</t>
  </si>
  <si>
    <t>1x27x9.0x0.375</t>
  </si>
  <si>
    <t>Roof S-1 Main 1/2" dia</t>
  </si>
  <si>
    <t>O.bend 3/8" dia</t>
  </si>
  <si>
    <t>" 3/8" dia</t>
  </si>
  <si>
    <t>Rof S-2 Main 1/2" dia</t>
  </si>
  <si>
    <t>Chajja Ext 1/2" dia</t>
  </si>
  <si>
    <t>"   " 1/2" dia</t>
  </si>
  <si>
    <t>Chair 3/8" dia</t>
  </si>
  <si>
    <t>Roof S-3 Main 1/2" dia</t>
  </si>
  <si>
    <t>1x2x23.0x0.667</t>
  </si>
  <si>
    <t>1x40x9.0x0.375</t>
  </si>
  <si>
    <t>1x4x23.0x1.042</t>
  </si>
  <si>
    <t>1x2x21.50x0.667</t>
  </si>
  <si>
    <t>1x43x9.0x0.375</t>
  </si>
  <si>
    <t>3x2x12.0x0.667</t>
  </si>
  <si>
    <t>3x24x9.0x0.375</t>
  </si>
  <si>
    <t>1x2x31.50x0.667</t>
  </si>
  <si>
    <t>1x48x9.0x0.375</t>
  </si>
  <si>
    <t>1x2x20.0x0.667</t>
  </si>
  <si>
    <t>1x38x9.0x0.375</t>
  </si>
  <si>
    <t>2x36x16.25x0.667</t>
  </si>
  <si>
    <t>2x19x21.0x0.667</t>
  </si>
  <si>
    <t>2x4x15.0x0.375</t>
  </si>
  <si>
    <t>2x5x10.0x0.375</t>
  </si>
  <si>
    <t>2x20.0x2.50x0.375</t>
  </si>
  <si>
    <t>2x38x17.25x0.667</t>
  </si>
  <si>
    <t>2x21x22.0x0.667</t>
  </si>
  <si>
    <t>2x5x11.0x0.375</t>
  </si>
  <si>
    <t>2x22x2.50x0.375</t>
  </si>
  <si>
    <t>1x33x19.50x0.667</t>
  </si>
  <si>
    <t>1x33x10.0x0.667</t>
  </si>
  <si>
    <t>1x13x14.0x0.667</t>
  </si>
  <si>
    <t>2x17x12.50x0.667</t>
  </si>
  <si>
    <t>2x12x16.25x0.375</t>
  </si>
  <si>
    <t>2x3x11.0x0.375</t>
  </si>
  <si>
    <t>2x4x6.0x0.375</t>
  </si>
  <si>
    <t>1x16x9.50x0.667</t>
  </si>
  <si>
    <t>1x9x14.0x0.375</t>
  </si>
  <si>
    <t>1x3x14.0x0.375</t>
  </si>
  <si>
    <t>1x12x2.50x0.375</t>
  </si>
  <si>
    <t>12268.78 / 112</t>
  </si>
  <si>
    <t>Cost of 01 No BUNGLOW</t>
  </si>
  <si>
    <t>Cost of 02 Nos BUNGLOW</t>
  </si>
  <si>
    <t>Providing &amp; Laying marble flooring super</t>
  </si>
  <si>
    <t>CONSTRUCTION OF OFFICE HOSTEL RESIDENTIAL BUILDING FOR POULATION WELFARE TRAINING INSTITUTE (P.W.T.I) KARACHI CONSTRUCTION OF CATEGORY IIIRD BUNGLOW (2-NOS)ADP No.1736 (2016-17)</t>
  </si>
  <si>
    <t>2 x 50,25,573</t>
  </si>
  <si>
    <t>Providing &amp; Fixing Porceline tiles 16"x16"</t>
  </si>
  <si>
    <t>or 24"x24"x1/4" as approved sized specified</t>
  </si>
  <si>
    <t xml:space="preserve">approved quality make design and colour </t>
  </si>
  <si>
    <t>i/c jointing in white cement in/c washing of tiles</t>
  </si>
  <si>
    <t xml:space="preserve">and filling of joints with slurry in white cement </t>
  </si>
  <si>
    <t xml:space="preserve">in desired shape with finishing in/c cutting of </t>
  </si>
  <si>
    <t xml:space="preserve">tiles to proper profile in/c all respect labour </t>
  </si>
  <si>
    <t>and necessary required material as directed</t>
  </si>
  <si>
    <t>by the Engineer Incharge etc complete</t>
  </si>
  <si>
    <t>' SCHEDULE "B"</t>
  </si>
  <si>
    <t>Above or Below</t>
  </si>
  <si>
    <t>Above Or Below</t>
  </si>
  <si>
    <t>SUMMARY OF COST</t>
  </si>
  <si>
    <t>PART A</t>
  </si>
  <si>
    <t>Cost of Civil Work Schedule Item</t>
  </si>
  <si>
    <t>Rs.</t>
  </si>
  <si>
    <t>PART A-ii</t>
  </si>
  <si>
    <t>PART B</t>
  </si>
  <si>
    <t xml:space="preserve">Total </t>
  </si>
  <si>
    <t>TERMS &amp; CONDITIONS:</t>
  </si>
  <si>
    <t>Any typographical errors in the schedule"B" are subject to correction with the reference to the schdule of rates General Item</t>
  </si>
  <si>
    <t xml:space="preserve">Water Supply and sanitary item 2012 in force from 12-07-2012 as approved by the standing rates committee sindh Karachi. </t>
  </si>
  <si>
    <t>100 % well graded crushed bajri shall be used in item of R.C.C 1:2:4.</t>
  </si>
  <si>
    <t>Water shall be arranged by the contractor at site of work without any extra payment.</t>
  </si>
  <si>
    <t>No Premium shall be paid on non-schedule Item</t>
  </si>
  <si>
    <t>No Cartage or any items of material either supplied by the Department or arranged by the contractor shall be paid</t>
  </si>
  <si>
    <t>C.C Shall be Machine made.</t>
  </si>
  <si>
    <t>All R.C.C/C.C cast in situ shall be mechanically viberated.</t>
  </si>
  <si>
    <t>Contractor has to bring samples of the material and handed to the Engineer Incharge free of cost.</t>
  </si>
  <si>
    <t>All Building debries &amp; Surplus stuff not req: for use and construction shall be removed from the site the suitable disposal off by</t>
  </si>
  <si>
    <t>the contractor for which no extra cartages shall be paid.</t>
  </si>
  <si>
    <t>The Work Will be carried out as per PWD Specification.</t>
  </si>
  <si>
    <t>CONTRACTOR</t>
  </si>
  <si>
    <t>Prov Building Sub-Division -VII</t>
  </si>
  <si>
    <t>Provincial  Building Division No.II</t>
  </si>
  <si>
    <t xml:space="preserve">    Karachi.</t>
  </si>
  <si>
    <t>PART (A) Civil Work)(i) Schedule Item</t>
  </si>
  <si>
    <t>Part (A) Civil Work Ground Floor</t>
  </si>
  <si>
    <t>Rupees Three Thousand One Hundred Seventy Six and Twenty Five Ps Only</t>
  </si>
  <si>
    <t xml:space="preserve">Rupees Twenty Eight Thousand Six Hundred Seventy Two and Five Ps </t>
  </si>
  <si>
    <t>Rupees Nine Thousand Four Hundred Sixteen and Twenty Eight</t>
  </si>
  <si>
    <t>Rupees Forteen Thousand Two Hundred Sixty Eight and Fifty Three Ps</t>
  </si>
  <si>
    <t>Rupees Three Hundred Thirty Seven Only</t>
  </si>
  <si>
    <t>Rupees Five Thousand One and Seventy Ps Only</t>
  </si>
  <si>
    <t xml:space="preserve">Rupees Fifteen Hundred Twelve and Fifty Ps </t>
  </si>
  <si>
    <t>Rupees Sixteen Thousand Two Hundred Thirty Three and Sixty PsOnly</t>
  </si>
  <si>
    <t>Rupees Twenty Five Hundred Forty Eight and Twenty Nine Ps Only</t>
  </si>
  <si>
    <t>Rupees Three Thousand Fifteen and Seventy Six Only</t>
  </si>
  <si>
    <t>Rupees Eighty Six Hundred Ninty Four and Ninty Five Ps</t>
  </si>
  <si>
    <t>Rupees Fifteen Thousand Seven Hundred Seventy One and One Ps</t>
  </si>
  <si>
    <t>Rupees Three Thousand Fifteen and Seventy Six Ps Only</t>
  </si>
  <si>
    <t>Rupees Two Hundred Twenty Eight and Ninty Ps Only</t>
  </si>
  <si>
    <t>Rupees Seven Hundred Six and Twenty Three Ps Only</t>
  </si>
  <si>
    <t>Rupees Forty Nine and Ninty Seven Ps Only</t>
  </si>
  <si>
    <t>Rupees Seventeen Hundred eighty six and thirteen ps only</t>
  </si>
  <si>
    <t>Rupees Three Thousand Two Hundred Seventy Five and Fifty Ps Only</t>
  </si>
  <si>
    <t>Rupees Four Hundred Forty Two and Seventy Five Ps Only</t>
  </si>
  <si>
    <t>Rupees One Hundred Seventy Nine and Sixty Five Ps Only</t>
  </si>
  <si>
    <t>Rupees Twenty Two Hundred Thirty Seven and Ninty Five Ps Only</t>
  </si>
  <si>
    <t>Rupees Twenty Five Hundred Sixty Seven and Ninty Five Ps Only</t>
  </si>
  <si>
    <t>Rupees Twenty One Hundred and Forty One Ps Only</t>
  </si>
  <si>
    <t>Cost of Civil Work Ground Floor</t>
  </si>
  <si>
    <t>Cost of Non Schedule Item</t>
  </si>
  <si>
    <t xml:space="preserve"> x </t>
  </si>
  <si>
    <t>Grand Total of 2 Nos Bunglows</t>
  </si>
  <si>
    <t>CONSTRUCTION OF OFFICE HOSTEL RESIDENTIAL BUILDING FOR POULATION WELFARE TRAINING INSTITUTE (P.W.T.I) KARACHI CONSTRUCTION OF CATEGORY 3 RD BUNGLOW (2-NOS) &amp; COMPOUND WALL (REMAINING WORK).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</si>
</sst>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(* #,##0_);_(* \(#,##0\);_(* &quot;-&quot;_);_(@_)"/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00"/>
  </numFmts>
  <fonts count="34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b/>
      <sz val="12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b/>
      <u/>
      <sz val="16"/>
      <name val="Arial"/>
      <family val="2"/>
    </font>
    <font>
      <b/>
      <u/>
      <sz val="24"/>
      <name val="BankGothic Md BT"/>
      <family val="2"/>
    </font>
    <font>
      <sz val="11"/>
      <name val="Arial"/>
      <family val="2"/>
    </font>
    <font>
      <b/>
      <i/>
      <u/>
      <sz val="12"/>
      <name val="Times New Roman"/>
      <family val="1"/>
    </font>
    <font>
      <i/>
      <sz val="12"/>
      <name val="Times New Roman"/>
      <family val="1"/>
    </font>
    <font>
      <b/>
      <i/>
      <u/>
      <sz val="11"/>
      <name val="Times New Roman"/>
      <family val="1"/>
    </font>
    <font>
      <b/>
      <i/>
      <sz val="11"/>
      <name val="Times New Roman"/>
      <family val="1"/>
    </font>
    <font>
      <b/>
      <i/>
      <sz val="12"/>
      <name val="Times New Roman"/>
      <family val="1"/>
    </font>
    <font>
      <i/>
      <sz val="11"/>
      <name val="Times New Roman"/>
      <family val="1"/>
    </font>
    <font>
      <i/>
      <sz val="11"/>
      <name val="Arial"/>
      <family val="2"/>
    </font>
    <font>
      <i/>
      <sz val="10"/>
      <name val="Times New Roman"/>
      <family val="1"/>
    </font>
    <font>
      <b/>
      <i/>
      <u/>
      <sz val="22"/>
      <name val="Times New Roman"/>
      <family val="1"/>
    </font>
    <font>
      <b/>
      <i/>
      <sz val="10"/>
      <name val="Times New Roman"/>
      <family val="1"/>
    </font>
    <font>
      <i/>
      <u/>
      <sz val="12"/>
      <name val="Times New Roman"/>
      <family val="1"/>
    </font>
    <font>
      <sz val="9"/>
      <name val="Arial"/>
      <family val="2"/>
    </font>
    <font>
      <b/>
      <i/>
      <u/>
      <sz val="9"/>
      <name val="Times New Roman"/>
      <family val="1"/>
    </font>
    <font>
      <i/>
      <sz val="11"/>
      <color rgb="FF000000"/>
      <name val="Times New Roman"/>
      <family val="1"/>
    </font>
    <font>
      <b/>
      <sz val="14"/>
      <name val="Times New Roman"/>
      <family val="1"/>
    </font>
    <font>
      <sz val="9"/>
      <name val="Times New Roman"/>
      <family val="1"/>
    </font>
    <font>
      <i/>
      <sz val="10"/>
      <color rgb="FF000000"/>
      <name val="Times New Roman"/>
      <family val="1"/>
    </font>
    <font>
      <b/>
      <i/>
      <u/>
      <sz val="10"/>
      <name val="Times New Roman"/>
      <family val="1"/>
    </font>
    <font>
      <b/>
      <i/>
      <sz val="9"/>
      <name val="Times New Roman"/>
      <family val="1"/>
    </font>
    <font>
      <i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</cellStyleXfs>
  <cellXfs count="24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vertical="top"/>
    </xf>
    <xf numFmtId="2" fontId="2" fillId="0" borderId="0" xfId="0" applyNumberFormat="1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vertical="top"/>
    </xf>
    <xf numFmtId="0" fontId="3" fillId="0" borderId="5" xfId="0" applyFont="1" applyBorder="1" applyAlignment="1">
      <alignment horizontal="right"/>
    </xf>
    <xf numFmtId="164" fontId="2" fillId="0" borderId="0" xfId="0" applyNumberFormat="1" applyFont="1" applyBorder="1" applyAlignment="1">
      <alignment vertical="top"/>
    </xf>
    <xf numFmtId="0" fontId="5" fillId="0" borderId="0" xfId="0" applyFont="1"/>
    <xf numFmtId="0" fontId="0" fillId="0" borderId="0" xfId="0" applyAlignment="1">
      <alignment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horizontal="center" vertical="top"/>
    </xf>
    <xf numFmtId="0" fontId="13" fillId="0" borderId="0" xfId="0" applyFont="1"/>
    <xf numFmtId="0" fontId="14" fillId="0" borderId="0" xfId="0" applyFont="1" applyBorder="1" applyAlignment="1">
      <alignment horizontal="left"/>
    </xf>
    <xf numFmtId="0" fontId="3" fillId="0" borderId="0" xfId="0" applyFont="1" applyFill="1" applyBorder="1" applyAlignment="1"/>
    <xf numFmtId="0" fontId="2" fillId="0" borderId="0" xfId="0" applyFont="1" applyFill="1" applyBorder="1" applyAlignment="1">
      <alignment horizontal="left"/>
    </xf>
    <xf numFmtId="164" fontId="3" fillId="0" borderId="0" xfId="0" applyNumberFormat="1" applyFont="1" applyBorder="1" applyAlignment="1">
      <alignment vertical="top"/>
    </xf>
    <xf numFmtId="0" fontId="15" fillId="0" borderId="0" xfId="0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18" fillId="0" borderId="0" xfId="0" applyFont="1" applyBorder="1" applyAlignment="1">
      <alignment horizontal="left"/>
    </xf>
    <xf numFmtId="0" fontId="1" fillId="0" borderId="0" xfId="0" applyFont="1"/>
    <xf numFmtId="0" fontId="17" fillId="0" borderId="0" xfId="0" applyFont="1"/>
    <xf numFmtId="0" fontId="19" fillId="0" borderId="0" xfId="0" applyFont="1"/>
    <xf numFmtId="0" fontId="16" fillId="0" borderId="0" xfId="0" quotePrefix="1" applyFont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right"/>
    </xf>
    <xf numFmtId="0" fontId="14" fillId="0" borderId="0" xfId="0" applyFont="1"/>
    <xf numFmtId="0" fontId="17" fillId="0" borderId="3" xfId="0" applyFont="1" applyBorder="1" applyAlignment="1">
      <alignment horizontal="center"/>
    </xf>
    <xf numFmtId="0" fontId="17" fillId="0" borderId="1" xfId="0" applyFont="1" applyBorder="1" applyAlignment="1">
      <alignment horizontal="left"/>
    </xf>
    <xf numFmtId="0" fontId="17" fillId="0" borderId="1" xfId="0" applyFont="1" applyBorder="1" applyAlignment="1">
      <alignment horizontal="center"/>
    </xf>
    <xf numFmtId="0" fontId="17" fillId="0" borderId="1" xfId="0" applyFont="1" applyBorder="1" applyAlignment="1">
      <alignment horizontal="right"/>
    </xf>
    <xf numFmtId="0" fontId="19" fillId="0" borderId="1" xfId="0" applyFont="1" applyBorder="1" applyAlignment="1">
      <alignment horizontal="left"/>
    </xf>
    <xf numFmtId="0" fontId="17" fillId="0" borderId="1" xfId="0" applyFont="1" applyBorder="1"/>
    <xf numFmtId="0" fontId="19" fillId="0" borderId="2" xfId="0" applyFont="1" applyBorder="1"/>
    <xf numFmtId="0" fontId="17" fillId="0" borderId="0" xfId="0" applyFont="1" applyBorder="1" applyAlignment="1">
      <alignment horizontal="center"/>
    </xf>
    <xf numFmtId="0" fontId="17" fillId="0" borderId="0" xfId="0" applyFont="1" applyBorder="1" applyAlignment="1">
      <alignment horizontal="left"/>
    </xf>
    <xf numFmtId="0" fontId="17" fillId="0" borderId="0" xfId="0" applyFont="1" applyFill="1" applyAlignment="1">
      <alignment horizontal="center"/>
    </xf>
    <xf numFmtId="0" fontId="19" fillId="0" borderId="0" xfId="0" applyFont="1" applyFill="1"/>
    <xf numFmtId="0" fontId="19" fillId="0" borderId="0" xfId="0" applyFont="1" applyFill="1" applyAlignment="1">
      <alignment vertical="top"/>
    </xf>
    <xf numFmtId="2" fontId="17" fillId="0" borderId="0" xfId="0" applyNumberFormat="1" applyFont="1" applyFill="1" applyBorder="1" applyAlignment="1">
      <alignment horizontal="right"/>
    </xf>
    <xf numFmtId="0" fontId="17" fillId="0" borderId="0" xfId="0" applyFont="1" applyFill="1" applyBorder="1" applyAlignment="1"/>
    <xf numFmtId="0" fontId="19" fillId="0" borderId="0" xfId="0" applyFont="1" applyFill="1" applyAlignment="1">
      <alignment horizontal="right"/>
    </xf>
    <xf numFmtId="0" fontId="19" fillId="0" borderId="0" xfId="0" quotePrefix="1" applyFont="1" applyFill="1" applyAlignment="1">
      <alignment horizontal="center"/>
    </xf>
    <xf numFmtId="166" fontId="19" fillId="0" borderId="0" xfId="0" quotePrefix="1" applyNumberFormat="1" applyFont="1" applyFill="1" applyAlignment="1">
      <alignment horizontal="left"/>
    </xf>
    <xf numFmtId="0" fontId="19" fillId="0" borderId="0" xfId="0" applyFont="1" applyFill="1" applyAlignment="1">
      <alignment horizontal="center"/>
    </xf>
    <xf numFmtId="165" fontId="19" fillId="0" borderId="0" xfId="1" quotePrefix="1" applyNumberFormat="1" applyFont="1" applyFill="1" applyAlignment="1">
      <alignment horizontal="right" vertical="top"/>
    </xf>
    <xf numFmtId="0" fontId="19" fillId="0" borderId="0" xfId="0" quotePrefix="1" applyFont="1" applyFill="1" applyAlignment="1">
      <alignment horizontal="left"/>
    </xf>
    <xf numFmtId="0" fontId="19" fillId="0" borderId="0" xfId="0" applyFont="1" applyFill="1" applyAlignment="1">
      <alignment wrapText="1"/>
    </xf>
    <xf numFmtId="0" fontId="19" fillId="0" borderId="0" xfId="0" applyFont="1" applyAlignment="1">
      <alignment horizontal="left"/>
    </xf>
    <xf numFmtId="0" fontId="17" fillId="0" borderId="0" xfId="0" applyFont="1" applyFill="1" applyAlignment="1">
      <alignment horizontal="left"/>
    </xf>
    <xf numFmtId="0" fontId="19" fillId="0" borderId="0" xfId="0" quotePrefix="1" applyFont="1" applyFill="1" applyBorder="1" applyAlignment="1">
      <alignment horizontal="left"/>
    </xf>
    <xf numFmtId="0" fontId="19" fillId="0" borderId="0" xfId="0" applyFont="1" applyBorder="1" applyAlignment="1">
      <alignment horizontal="left"/>
    </xf>
    <xf numFmtId="2" fontId="17" fillId="0" borderId="0" xfId="0" applyNumberFormat="1" applyFont="1" applyBorder="1" applyAlignment="1">
      <alignment wrapText="1"/>
    </xf>
    <xf numFmtId="0" fontId="19" fillId="0" borderId="0" xfId="0" applyFont="1" applyAlignment="1">
      <alignment horizontal="left" wrapText="1"/>
    </xf>
    <xf numFmtId="0" fontId="19" fillId="0" borderId="0" xfId="0" applyFont="1" applyAlignment="1">
      <alignment horizontal="right" wrapText="1"/>
    </xf>
    <xf numFmtId="0" fontId="19" fillId="0" borderId="0" xfId="0" quotePrefix="1" applyFont="1" applyAlignment="1">
      <alignment wrapText="1"/>
    </xf>
    <xf numFmtId="166" fontId="19" fillId="0" borderId="0" xfId="0" applyNumberFormat="1" applyFont="1" applyBorder="1" applyAlignment="1">
      <alignment horizontal="left"/>
    </xf>
    <xf numFmtId="0" fontId="19" fillId="0" borderId="0" xfId="0" applyFont="1" applyAlignment="1">
      <alignment horizontal="center" wrapText="1"/>
    </xf>
    <xf numFmtId="165" fontId="19" fillId="0" borderId="0" xfId="1" quotePrefix="1" applyNumberFormat="1" applyFont="1" applyAlignment="1">
      <alignment horizontal="right" wrapText="1"/>
    </xf>
    <xf numFmtId="0" fontId="19" fillId="0" borderId="0" xfId="0" quotePrefix="1" applyFont="1" applyAlignment="1">
      <alignment horizontal="left"/>
    </xf>
    <xf numFmtId="2" fontId="19" fillId="0" borderId="0" xfId="0" applyNumberFormat="1" applyFont="1" applyFill="1" applyAlignment="1">
      <alignment horizontal="right"/>
    </xf>
    <xf numFmtId="0" fontId="19" fillId="0" borderId="0" xfId="0" applyFont="1" applyFill="1" applyAlignment="1">
      <alignment horizontal="left"/>
    </xf>
    <xf numFmtId="0" fontId="19" fillId="0" borderId="0" xfId="0" applyFont="1" applyBorder="1" applyAlignment="1">
      <alignment horizontal="center"/>
    </xf>
    <xf numFmtId="0" fontId="17" fillId="0" borderId="0" xfId="0" applyFont="1" applyBorder="1" applyAlignment="1">
      <alignment horizontal="right"/>
    </xf>
    <xf numFmtId="165" fontId="17" fillId="0" borderId="4" xfId="0" applyNumberFormat="1" applyFont="1" applyBorder="1" applyAlignment="1">
      <alignment horizontal="center"/>
    </xf>
    <xf numFmtId="0" fontId="17" fillId="0" borderId="4" xfId="0" quotePrefix="1" applyFont="1" applyBorder="1" applyAlignment="1">
      <alignment horizontal="left"/>
    </xf>
    <xf numFmtId="0" fontId="17" fillId="0" borderId="0" xfId="0" applyFont="1" applyFill="1" applyAlignment="1">
      <alignment horizontal="right" vertical="top"/>
    </xf>
    <xf numFmtId="0" fontId="15" fillId="0" borderId="0" xfId="0" applyFont="1"/>
    <xf numFmtId="2" fontId="17" fillId="0" borderId="0" xfId="0" applyNumberFormat="1" applyFont="1" applyFill="1" applyBorder="1"/>
    <xf numFmtId="0" fontId="19" fillId="0" borderId="0" xfId="0" quotePrefix="1" applyFont="1" applyFill="1"/>
    <xf numFmtId="165" fontId="17" fillId="0" borderId="6" xfId="0" applyNumberFormat="1" applyFont="1" applyBorder="1" applyAlignment="1">
      <alignment horizontal="center"/>
    </xf>
    <xf numFmtId="0" fontId="17" fillId="0" borderId="6" xfId="0" quotePrefix="1" applyFont="1" applyBorder="1" applyAlignment="1">
      <alignment horizontal="left"/>
    </xf>
    <xf numFmtId="165" fontId="17" fillId="0" borderId="0" xfId="0" applyNumberFormat="1" applyFont="1" applyBorder="1" applyAlignment="1">
      <alignment horizontal="center"/>
    </xf>
    <xf numFmtId="0" fontId="19" fillId="0" borderId="0" xfId="0" applyFont="1" applyFill="1" applyAlignment="1">
      <alignment horizontal="center" vertical="top"/>
    </xf>
    <xf numFmtId="0" fontId="20" fillId="0" borderId="0" xfId="0" applyFont="1"/>
    <xf numFmtId="2" fontId="17" fillId="0" borderId="0" xfId="0" applyNumberFormat="1" applyFont="1" applyFill="1" applyBorder="1" applyAlignment="1">
      <alignment vertical="top"/>
    </xf>
    <xf numFmtId="0" fontId="18" fillId="0" borderId="0" xfId="0" applyFont="1" applyAlignment="1">
      <alignment horizontal="right" vertical="top"/>
    </xf>
    <xf numFmtId="12" fontId="17" fillId="0" borderId="0" xfId="0" applyNumberFormat="1" applyFont="1" applyAlignment="1">
      <alignment vertical="top" wrapText="1"/>
    </xf>
    <xf numFmtId="0" fontId="17" fillId="0" borderId="0" xfId="0" applyFont="1" applyAlignment="1">
      <alignment horizontal="left" vertical="top" wrapText="1"/>
    </xf>
    <xf numFmtId="0" fontId="22" fillId="0" borderId="0" xfId="0" applyFont="1" applyAlignment="1">
      <alignment horizontal="center"/>
    </xf>
    <xf numFmtId="0" fontId="21" fillId="0" borderId="0" xfId="0" applyFont="1"/>
    <xf numFmtId="0" fontId="18" fillId="0" borderId="0" xfId="0" applyFont="1" applyAlignment="1">
      <alignment horizontal="right"/>
    </xf>
    <xf numFmtId="0" fontId="18" fillId="0" borderId="0" xfId="0" applyFont="1"/>
    <xf numFmtId="165" fontId="18" fillId="0" borderId="0" xfId="2" applyNumberFormat="1" applyFont="1" applyAlignment="1">
      <alignment horizontal="right" vertical="top"/>
    </xf>
    <xf numFmtId="0" fontId="15" fillId="0" borderId="0" xfId="0" quotePrefix="1" applyFont="1" applyAlignment="1">
      <alignment vertical="top"/>
    </xf>
    <xf numFmtId="0" fontId="15" fillId="0" borderId="0" xfId="0" applyFont="1" applyAlignment="1">
      <alignment vertical="top"/>
    </xf>
    <xf numFmtId="165" fontId="15" fillId="0" borderId="0" xfId="2" applyNumberFormat="1" applyFont="1" applyBorder="1" applyAlignment="1">
      <alignment horizontal="right"/>
    </xf>
    <xf numFmtId="0" fontId="18" fillId="0" borderId="0" xfId="0" applyFont="1" applyAlignment="1">
      <alignment vertical="top"/>
    </xf>
    <xf numFmtId="165" fontId="18" fillId="0" borderId="0" xfId="2" applyNumberFormat="1" applyFont="1" applyBorder="1" applyAlignment="1">
      <alignment horizontal="right"/>
    </xf>
    <xf numFmtId="0" fontId="18" fillId="0" borderId="0" xfId="0" quotePrefix="1" applyFont="1" applyAlignment="1">
      <alignment vertical="top"/>
    </xf>
    <xf numFmtId="0" fontId="15" fillId="0" borderId="0" xfId="0" applyFont="1" applyAlignment="1">
      <alignment horizontal="right"/>
    </xf>
    <xf numFmtId="165" fontId="15" fillId="0" borderId="0" xfId="2" applyNumberFormat="1" applyFont="1" applyAlignment="1">
      <alignment horizontal="right" vertical="top"/>
    </xf>
    <xf numFmtId="165" fontId="18" fillId="0" borderId="3" xfId="1" applyNumberFormat="1" applyFont="1" applyBorder="1" applyAlignment="1">
      <alignment horizontal="right"/>
    </xf>
    <xf numFmtId="0" fontId="18" fillId="0" borderId="2" xfId="0" quotePrefix="1" applyFont="1" applyBorder="1" applyAlignment="1">
      <alignment vertical="top"/>
    </xf>
    <xf numFmtId="165" fontId="15" fillId="0" borderId="0" xfId="2" applyNumberFormat="1" applyFont="1" applyAlignment="1">
      <alignment vertical="top"/>
    </xf>
    <xf numFmtId="165" fontId="18" fillId="0" borderId="0" xfId="2" applyNumberFormat="1" applyFont="1" applyBorder="1"/>
    <xf numFmtId="0" fontId="15" fillId="0" borderId="0" xfId="0" quotePrefix="1" applyFont="1" applyBorder="1"/>
    <xf numFmtId="0" fontId="23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24" fillId="0" borderId="0" xfId="0" applyFont="1"/>
    <xf numFmtId="0" fontId="19" fillId="0" borderId="0" xfId="0" applyFont="1" applyAlignment="1">
      <alignment vertical="top"/>
    </xf>
    <xf numFmtId="2" fontId="19" fillId="0" borderId="0" xfId="0" applyNumberFormat="1" applyFont="1" applyAlignment="1">
      <alignment horizontal="right"/>
    </xf>
    <xf numFmtId="0" fontId="19" fillId="0" borderId="0" xfId="0" applyFont="1" applyAlignment="1"/>
    <xf numFmtId="2" fontId="17" fillId="0" borderId="0" xfId="0" applyNumberFormat="1" applyFont="1" applyAlignment="1">
      <alignment horizontal="right"/>
    </xf>
    <xf numFmtId="0" fontId="17" fillId="0" borderId="0" xfId="0" applyFont="1" applyAlignment="1"/>
    <xf numFmtId="2" fontId="19" fillId="0" borderId="0" xfId="0" applyNumberFormat="1" applyFont="1" applyAlignment="1">
      <alignment vertical="top"/>
    </xf>
    <xf numFmtId="0" fontId="3" fillId="0" borderId="5" xfId="0" applyFont="1" applyBorder="1" applyAlignment="1">
      <alignment horizontal="center"/>
    </xf>
    <xf numFmtId="14" fontId="2" fillId="0" borderId="0" xfId="0" applyNumberFormat="1" applyFont="1" applyAlignment="1">
      <alignment vertical="top"/>
    </xf>
    <xf numFmtId="1" fontId="19" fillId="0" borderId="0" xfId="0" applyNumberFormat="1" applyFont="1" applyAlignment="1">
      <alignment horizontal="right"/>
    </xf>
    <xf numFmtId="1" fontId="17" fillId="0" borderId="0" xfId="0" applyNumberFormat="1" applyFont="1" applyAlignment="1">
      <alignment horizontal="right"/>
    </xf>
    <xf numFmtId="0" fontId="17" fillId="0" borderId="0" xfId="0" applyFont="1" applyAlignment="1">
      <alignment vertical="top"/>
    </xf>
    <xf numFmtId="0" fontId="15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2" fontId="2" fillId="0" borderId="0" xfId="0" applyNumberFormat="1" applyFont="1" applyAlignment="1">
      <alignment vertical="top"/>
    </xf>
    <xf numFmtId="2" fontId="18" fillId="0" borderId="0" xfId="0" applyNumberFormat="1" applyFont="1" applyAlignment="1">
      <alignment horizontal="right"/>
    </xf>
    <xf numFmtId="0" fontId="15" fillId="0" borderId="0" xfId="0" applyFont="1" applyAlignment="1">
      <alignment horizontal="left"/>
    </xf>
    <xf numFmtId="0" fontId="15" fillId="0" borderId="0" xfId="0" quotePrefix="1" applyFont="1" applyAlignment="1">
      <alignment horizontal="center"/>
    </xf>
    <xf numFmtId="165" fontId="15" fillId="0" borderId="0" xfId="1" quotePrefix="1" applyNumberFormat="1" applyFont="1" applyAlignment="1">
      <alignment horizontal="right" vertical="top"/>
    </xf>
    <xf numFmtId="0" fontId="15" fillId="0" borderId="0" xfId="0" quotePrefix="1" applyFont="1" applyAlignment="1">
      <alignment horizontal="left"/>
    </xf>
    <xf numFmtId="0" fontId="18" fillId="0" borderId="0" xfId="0" applyFont="1" applyAlignment="1">
      <alignment horizontal="left"/>
    </xf>
    <xf numFmtId="41" fontId="15" fillId="0" borderId="0" xfId="1" applyNumberFormat="1" applyFont="1" applyAlignment="1">
      <alignment horizontal="right"/>
    </xf>
    <xf numFmtId="2" fontId="18" fillId="0" borderId="0" xfId="0" applyNumberFormat="1" applyFont="1" applyBorder="1" applyAlignment="1">
      <alignment horizontal="right"/>
    </xf>
    <xf numFmtId="166" fontId="15" fillId="0" borderId="0" xfId="0" applyNumberFormat="1" applyFont="1" applyAlignment="1">
      <alignment horizontal="left"/>
    </xf>
    <xf numFmtId="0" fontId="15" fillId="0" borderId="0" xfId="0" quotePrefix="1" applyFont="1"/>
    <xf numFmtId="0" fontId="25" fillId="0" borderId="0" xfId="0" applyFont="1"/>
    <xf numFmtId="2" fontId="23" fillId="0" borderId="0" xfId="0" applyNumberFormat="1" applyFont="1" applyFill="1" applyAlignment="1">
      <alignment horizontal="right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1" fillId="0" borderId="0" xfId="0" quotePrefix="1" applyFont="1" applyAlignment="1">
      <alignment horizontal="center"/>
    </xf>
    <xf numFmtId="166" fontId="21" fillId="0" borderId="0" xfId="0" applyNumberFormat="1" applyFont="1" applyAlignment="1">
      <alignment horizontal="left"/>
    </xf>
    <xf numFmtId="0" fontId="21" fillId="0" borderId="0" xfId="0" applyFont="1" applyAlignment="1">
      <alignment horizontal="center"/>
    </xf>
    <xf numFmtId="165" fontId="21" fillId="0" borderId="0" xfId="1" quotePrefix="1" applyNumberFormat="1" applyFont="1" applyAlignment="1">
      <alignment horizontal="right" vertical="top"/>
    </xf>
    <xf numFmtId="0" fontId="21" fillId="0" borderId="0" xfId="0" quotePrefix="1" applyFont="1" applyAlignment="1">
      <alignment horizontal="left"/>
    </xf>
    <xf numFmtId="2" fontId="23" fillId="0" borderId="0" xfId="0" applyNumberFormat="1" applyFont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17" fillId="0" borderId="0" xfId="3" applyFont="1" applyBorder="1" applyAlignment="1">
      <alignment horizontal="center"/>
    </xf>
    <xf numFmtId="2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17" fillId="0" borderId="0" xfId="0" applyFont="1" applyAlignment="1">
      <alignment horizontal="left" wrapText="1"/>
    </xf>
    <xf numFmtId="1" fontId="17" fillId="0" borderId="0" xfId="0" applyNumberFormat="1" applyFont="1" applyBorder="1" applyAlignment="1">
      <alignment wrapText="1"/>
    </xf>
    <xf numFmtId="2" fontId="18" fillId="0" borderId="0" xfId="0" applyNumberFormat="1" applyFont="1" applyBorder="1"/>
    <xf numFmtId="0" fontId="26" fillId="0" borderId="0" xfId="0" applyFont="1" applyFill="1"/>
    <xf numFmtId="0" fontId="27" fillId="0" borderId="0" xfId="0" applyFont="1"/>
    <xf numFmtId="2" fontId="19" fillId="0" borderId="0" xfId="0" applyNumberFormat="1" applyFont="1" applyFill="1" applyBorder="1" applyAlignment="1">
      <alignment horizontal="left"/>
    </xf>
    <xf numFmtId="165" fontId="17" fillId="0" borderId="5" xfId="1" quotePrefix="1" applyNumberFormat="1" applyFont="1" applyFill="1" applyBorder="1" applyAlignment="1">
      <alignment horizontal="right" vertical="top"/>
    </xf>
    <xf numFmtId="0" fontId="18" fillId="0" borderId="5" xfId="0" applyFont="1" applyBorder="1" applyAlignment="1">
      <alignment horizontal="left"/>
    </xf>
    <xf numFmtId="0" fontId="19" fillId="0" borderId="5" xfId="0" applyFont="1" applyBorder="1"/>
    <xf numFmtId="0" fontId="15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2" fontId="17" fillId="0" borderId="0" xfId="0" applyNumberFormat="1" applyFont="1" applyAlignment="1">
      <alignment vertical="top"/>
    </xf>
    <xf numFmtId="2" fontId="3" fillId="0" borderId="0" xfId="0" applyNumberFormat="1" applyFont="1" applyAlignment="1">
      <alignment vertical="top"/>
    </xf>
    <xf numFmtId="0" fontId="21" fillId="0" borderId="10" xfId="0" applyFont="1" applyBorder="1"/>
    <xf numFmtId="0" fontId="18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vertical="center"/>
    </xf>
    <xf numFmtId="0" fontId="15" fillId="0" borderId="10" xfId="0" applyFont="1" applyBorder="1" applyAlignment="1">
      <alignment vertical="center"/>
    </xf>
    <xf numFmtId="0" fontId="15" fillId="0" borderId="10" xfId="0" applyFont="1" applyBorder="1" applyAlignment="1">
      <alignment vertical="center" wrapText="1"/>
    </xf>
    <xf numFmtId="0" fontId="17" fillId="0" borderId="0" xfId="0" quotePrefix="1" applyFont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" fillId="0" borderId="0" xfId="0" applyFont="1" applyFill="1"/>
    <xf numFmtId="0" fontId="28" fillId="0" borderId="3" xfId="0" applyFont="1" applyFill="1" applyBorder="1"/>
    <xf numFmtId="1" fontId="28" fillId="0" borderId="9" xfId="0" applyNumberFormat="1" applyFont="1" applyBorder="1" applyAlignment="1">
      <alignment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 wrapText="1"/>
    </xf>
    <xf numFmtId="0" fontId="2" fillId="0" borderId="0" xfId="0" quotePrefix="1" applyFont="1" applyAlignment="1">
      <alignment wrapText="1"/>
    </xf>
    <xf numFmtId="166" fontId="2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 wrapText="1"/>
    </xf>
    <xf numFmtId="165" fontId="2" fillId="0" borderId="0" xfId="1" quotePrefix="1" applyNumberFormat="1" applyFont="1" applyAlignment="1">
      <alignment horizontal="right" wrapText="1"/>
    </xf>
    <xf numFmtId="0" fontId="2" fillId="0" borderId="0" xfId="0" quotePrefix="1" applyFont="1" applyAlignment="1">
      <alignment horizontal="left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166" fontId="3" fillId="0" borderId="0" xfId="0" applyNumberFormat="1" applyFont="1" applyBorder="1" applyAlignment="1">
      <alignment horizontal="left"/>
    </xf>
    <xf numFmtId="1" fontId="3" fillId="0" borderId="0" xfId="0" applyNumberFormat="1" applyFont="1" applyBorder="1" applyAlignment="1">
      <alignment wrapText="1"/>
    </xf>
    <xf numFmtId="1" fontId="3" fillId="0" borderId="0" xfId="0" applyNumberFormat="1" applyFont="1" applyBorder="1" applyAlignment="1">
      <alignment horizontal="center" wrapText="1"/>
    </xf>
    <xf numFmtId="0" fontId="29" fillId="0" borderId="0" xfId="0" applyFont="1" applyFill="1"/>
    <xf numFmtId="0" fontId="2" fillId="0" borderId="0" xfId="0" applyFont="1" applyBorder="1" applyAlignment="1">
      <alignment horizontal="left"/>
    </xf>
    <xf numFmtId="165" fontId="2" fillId="0" borderId="0" xfId="1" quotePrefix="1" applyNumberFormat="1" applyFont="1" applyBorder="1" applyAlignment="1">
      <alignment horizontal="right" wrapText="1"/>
    </xf>
    <xf numFmtId="0" fontId="3" fillId="0" borderId="0" xfId="0" applyFont="1" applyBorder="1" applyAlignment="1">
      <alignment horizontal="right"/>
    </xf>
    <xf numFmtId="165" fontId="3" fillId="0" borderId="0" xfId="1" quotePrefix="1" applyNumberFormat="1" applyFont="1" applyAlignment="1">
      <alignment horizontal="right" wrapText="1"/>
    </xf>
    <xf numFmtId="0" fontId="3" fillId="0" borderId="0" xfId="0" applyFont="1" applyBorder="1" applyAlignment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/>
    <xf numFmtId="165" fontId="17" fillId="0" borderId="5" xfId="0" applyNumberFormat="1" applyFont="1" applyBorder="1" applyAlignment="1">
      <alignment horizontal="center"/>
    </xf>
    <xf numFmtId="0" fontId="30" fillId="0" borderId="0" xfId="0" applyFont="1"/>
    <xf numFmtId="0" fontId="21" fillId="0" borderId="0" xfId="0" applyFont="1" applyFill="1"/>
    <xf numFmtId="0" fontId="31" fillId="0" borderId="0" xfId="0" applyFont="1" applyBorder="1" applyAlignment="1">
      <alignment horizontal="left"/>
    </xf>
    <xf numFmtId="0" fontId="21" fillId="0" borderId="0" xfId="0" applyFont="1" applyAlignment="1">
      <alignment vertical="top"/>
    </xf>
    <xf numFmtId="0" fontId="21" fillId="0" borderId="0" xfId="0" applyFont="1" applyBorder="1" applyAlignment="1">
      <alignment horizontal="left"/>
    </xf>
    <xf numFmtId="0" fontId="21" fillId="0" borderId="0" xfId="3" applyFont="1" applyBorder="1" applyAlignment="1">
      <alignment horizontal="left"/>
    </xf>
    <xf numFmtId="0" fontId="21" fillId="0" borderId="0" xfId="3" applyFont="1"/>
    <xf numFmtId="0" fontId="21" fillId="0" borderId="0" xfId="0" applyFont="1" applyFill="1" applyAlignment="1"/>
    <xf numFmtId="0" fontId="21" fillId="0" borderId="0" xfId="0" applyFont="1" applyAlignment="1">
      <alignment vertical="center"/>
    </xf>
    <xf numFmtId="0" fontId="21" fillId="0" borderId="0" xfId="0" applyFont="1" applyFill="1" applyAlignment="1">
      <alignment vertical="top"/>
    </xf>
    <xf numFmtId="2" fontId="32" fillId="0" borderId="0" xfId="0" applyNumberFormat="1" applyFont="1" applyBorder="1" applyAlignment="1"/>
    <xf numFmtId="0" fontId="11" fillId="0" borderId="0" xfId="0" applyFont="1" applyAlignment="1">
      <alignment horizontal="right" vertical="top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7" fillId="0" borderId="0" xfId="0" applyFont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10" fillId="0" borderId="12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11" fillId="0" borderId="0" xfId="0" applyFont="1" applyAlignment="1">
      <alignment horizontal="center" vertical="top"/>
    </xf>
    <xf numFmtId="12" fontId="17" fillId="0" borderId="0" xfId="0" applyNumberFormat="1" applyFont="1" applyAlignment="1">
      <alignment horizontal="left" vertical="top" wrapText="1"/>
    </xf>
    <xf numFmtId="0" fontId="15" fillId="0" borderId="0" xfId="0" applyFont="1" applyAlignment="1">
      <alignment horizontal="center"/>
    </xf>
    <xf numFmtId="0" fontId="18" fillId="0" borderId="10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12" fontId="23" fillId="0" borderId="0" xfId="0" applyNumberFormat="1" applyFont="1" applyAlignment="1">
      <alignment horizontal="justify" vertical="top" wrapText="1"/>
    </xf>
    <xf numFmtId="2" fontId="33" fillId="0" borderId="0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 applyBorder="1" applyAlignment="1">
      <alignment horizontal="center" vertical="top"/>
    </xf>
    <xf numFmtId="2" fontId="21" fillId="0" borderId="0" xfId="0" applyNumberFormat="1" applyFont="1" applyAlignment="1">
      <alignment horizontal="center"/>
    </xf>
    <xf numFmtId="2" fontId="33" fillId="0" borderId="0" xfId="0" applyNumberFormat="1" applyFont="1" applyAlignment="1">
      <alignment horizontal="left"/>
    </xf>
    <xf numFmtId="2" fontId="15" fillId="0" borderId="0" xfId="0" applyNumberFormat="1" applyFont="1" applyAlignment="1">
      <alignment horizontal="center"/>
    </xf>
    <xf numFmtId="2" fontId="18" fillId="0" borderId="0" xfId="0" applyNumberFormat="1" applyFont="1" applyAlignment="1">
      <alignment horizontal="center"/>
    </xf>
    <xf numFmtId="2" fontId="33" fillId="0" borderId="0" xfId="0" applyNumberFormat="1" applyFont="1" applyFill="1" applyBorder="1" applyAlignment="1">
      <alignment horizontal="left" vertical="top"/>
    </xf>
    <xf numFmtId="0" fontId="33" fillId="0" borderId="0" xfId="0" applyFont="1" applyFill="1" applyAlignment="1">
      <alignment horizontal="center" vertical="top"/>
    </xf>
    <xf numFmtId="2" fontId="23" fillId="0" borderId="0" xfId="0" applyNumberFormat="1" applyFont="1" applyAlignment="1">
      <alignment horizontal="center"/>
    </xf>
    <xf numFmtId="2" fontId="21" fillId="0" borderId="0" xfId="0" applyNumberFormat="1" applyFont="1" applyBorder="1" applyAlignment="1">
      <alignment horizontal="center"/>
    </xf>
    <xf numFmtId="0" fontId="33" fillId="0" borderId="0" xfId="0" applyFont="1" applyBorder="1" applyAlignment="1">
      <alignment horizontal="center"/>
    </xf>
    <xf numFmtId="2" fontId="23" fillId="0" borderId="0" xfId="0" applyNumberFormat="1" applyFont="1" applyBorder="1" applyAlignment="1">
      <alignment horizontal="center"/>
    </xf>
    <xf numFmtId="2" fontId="33" fillId="0" borderId="0" xfId="0" applyNumberFormat="1" applyFont="1" applyAlignment="1">
      <alignment horizontal="center"/>
    </xf>
    <xf numFmtId="0" fontId="21" fillId="0" borderId="0" xfId="0" applyFont="1" applyBorder="1" applyAlignment="1">
      <alignment horizontal="center"/>
    </xf>
    <xf numFmtId="2" fontId="32" fillId="0" borderId="0" xfId="0" applyNumberFormat="1" applyFont="1" applyBorder="1" applyAlignment="1">
      <alignment horizontal="center" wrapText="1"/>
    </xf>
    <xf numFmtId="0" fontId="3" fillId="0" borderId="0" xfId="0" applyFont="1" applyAlignment="1">
      <alignment horizontal="center" vertical="top"/>
    </xf>
    <xf numFmtId="0" fontId="3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 vertical="top"/>
    </xf>
    <xf numFmtId="2" fontId="3" fillId="0" borderId="5" xfId="0" applyNumberFormat="1" applyFont="1" applyBorder="1" applyAlignment="1">
      <alignment horizontal="center"/>
    </xf>
  </cellXfs>
  <cellStyles count="4">
    <cellStyle name="Comma" xfId="1" builtinId="3"/>
    <cellStyle name="Comma 2" xfId="2"/>
    <cellStyle name="Normal" xfId="0" builtinId="0"/>
    <cellStyle name="Norm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47"/>
  <sheetViews>
    <sheetView view="pageBreakPreview" zoomScaleSheetLayoutView="100" workbookViewId="0">
      <selection activeCell="F1" sqref="F1"/>
    </sheetView>
  </sheetViews>
  <sheetFormatPr defaultRowHeight="12.75"/>
  <cols>
    <col min="2" max="2" width="5.42578125" customWidth="1"/>
    <col min="3" max="3" width="9.85546875" customWidth="1"/>
    <col min="4" max="5" width="9.7109375" customWidth="1"/>
    <col min="6" max="7" width="18.7109375" customWidth="1"/>
  </cols>
  <sheetData>
    <row r="3" spans="2:8" ht="30">
      <c r="C3" s="15"/>
      <c r="E3" s="27" t="s">
        <v>20</v>
      </c>
    </row>
    <row r="4" spans="2:8" ht="15">
      <c r="B4" s="16"/>
      <c r="C4" s="15"/>
      <c r="D4" s="15"/>
      <c r="E4" s="15"/>
    </row>
    <row r="5" spans="2:8" ht="15">
      <c r="B5" s="16" t="s">
        <v>21</v>
      </c>
      <c r="E5" s="16" t="s">
        <v>22</v>
      </c>
    </row>
    <row r="6" spans="2:8" ht="15">
      <c r="B6" s="16"/>
      <c r="E6" s="16"/>
    </row>
    <row r="7" spans="2:8" ht="15">
      <c r="B7" s="16" t="s">
        <v>23</v>
      </c>
      <c r="E7" s="16" t="s">
        <v>24</v>
      </c>
    </row>
    <row r="8" spans="2:8" ht="15">
      <c r="B8" s="16"/>
      <c r="E8" s="16"/>
    </row>
    <row r="9" spans="2:8" ht="15">
      <c r="B9" s="16" t="s">
        <v>25</v>
      </c>
      <c r="E9" s="16" t="s">
        <v>26</v>
      </c>
    </row>
    <row r="10" spans="2:8" ht="15">
      <c r="B10" s="16"/>
      <c r="E10" s="16"/>
    </row>
    <row r="11" spans="2:8" ht="15">
      <c r="B11" s="16" t="s">
        <v>27</v>
      </c>
      <c r="E11" s="16" t="s">
        <v>42</v>
      </c>
    </row>
    <row r="12" spans="2:8" ht="15">
      <c r="B12" s="16"/>
      <c r="D12" s="16"/>
      <c r="E12" s="16"/>
    </row>
    <row r="13" spans="2:8" ht="15.75" customHeight="1">
      <c r="B13" s="16" t="s">
        <v>28</v>
      </c>
      <c r="E13" s="215" t="s">
        <v>46</v>
      </c>
      <c r="F13" s="215"/>
      <c r="G13" s="215"/>
      <c r="H13" s="215"/>
    </row>
    <row r="14" spans="2:8" ht="15.75" customHeight="1">
      <c r="B14" s="16"/>
      <c r="D14" s="26"/>
      <c r="E14" s="215"/>
      <c r="F14" s="215"/>
      <c r="G14" s="215"/>
      <c r="H14" s="215"/>
    </row>
    <row r="15" spans="2:8" ht="15.75" customHeight="1">
      <c r="B15" s="16"/>
      <c r="D15" s="26"/>
      <c r="E15" s="215"/>
      <c r="F15" s="215"/>
      <c r="G15" s="215"/>
      <c r="H15" s="215"/>
    </row>
    <row r="16" spans="2:8" ht="15.75" customHeight="1">
      <c r="B16" s="16"/>
      <c r="D16" s="26"/>
      <c r="E16" s="215"/>
      <c r="F16" s="215"/>
      <c r="G16" s="215"/>
      <c r="H16" s="215"/>
    </row>
    <row r="17" spans="2:8" ht="15.75">
      <c r="B17" s="16"/>
      <c r="D17" s="17"/>
      <c r="E17" s="215"/>
      <c r="F17" s="215"/>
      <c r="G17" s="215"/>
      <c r="H17" s="215"/>
    </row>
    <row r="18" spans="2:8" ht="15.75">
      <c r="B18" s="16"/>
      <c r="D18" s="17"/>
      <c r="E18" s="17"/>
    </row>
    <row r="19" spans="2:8" ht="20.25">
      <c r="B19" s="16" t="s">
        <v>29</v>
      </c>
      <c r="E19" s="18" t="s">
        <v>30</v>
      </c>
    </row>
    <row r="20" spans="2:8" ht="15">
      <c r="B20" s="16"/>
      <c r="C20" s="15"/>
      <c r="D20" s="15"/>
      <c r="E20" s="15"/>
    </row>
    <row r="21" spans="2:8">
      <c r="B21" s="216" t="s">
        <v>43</v>
      </c>
      <c r="C21" s="217"/>
      <c r="D21" s="217"/>
      <c r="E21" s="217"/>
      <c r="F21" s="217"/>
      <c r="G21" s="217"/>
      <c r="H21" s="217"/>
    </row>
    <row r="22" spans="2:8">
      <c r="B22" s="217"/>
      <c r="C22" s="217"/>
      <c r="D22" s="217"/>
      <c r="E22" s="217"/>
      <c r="F22" s="217"/>
      <c r="G22" s="217"/>
      <c r="H22" s="217"/>
    </row>
    <row r="23" spans="2:8">
      <c r="B23" s="217"/>
      <c r="C23" s="217"/>
      <c r="D23" s="217"/>
      <c r="E23" s="217"/>
      <c r="F23" s="217"/>
      <c r="G23" s="217"/>
      <c r="H23" s="217"/>
    </row>
    <row r="24" spans="2:8">
      <c r="B24" s="217"/>
      <c r="C24" s="217"/>
      <c r="D24" s="217"/>
      <c r="E24" s="217"/>
      <c r="F24" s="217"/>
      <c r="G24" s="217"/>
      <c r="H24" s="217"/>
    </row>
    <row r="25" spans="2:8" ht="15">
      <c r="B25" s="16"/>
      <c r="C25" s="15"/>
      <c r="D25" s="15"/>
      <c r="E25" s="15"/>
    </row>
    <row r="26" spans="2:8" ht="12.75" customHeight="1">
      <c r="C26" s="15"/>
      <c r="D26" s="222" t="s">
        <v>47</v>
      </c>
      <c r="E26" s="222"/>
      <c r="F26" s="222"/>
    </row>
    <row r="27" spans="2:8" ht="20.25">
      <c r="B27" s="19"/>
      <c r="C27" s="15"/>
      <c r="D27" s="222"/>
      <c r="E27" s="222"/>
      <c r="F27" s="222"/>
    </row>
    <row r="28" spans="2:8">
      <c r="B28" s="216" t="s">
        <v>44</v>
      </c>
      <c r="C28" s="217"/>
      <c r="D28" s="217"/>
      <c r="E28" s="217"/>
      <c r="F28" s="217"/>
      <c r="G28" s="217"/>
      <c r="H28" s="217"/>
    </row>
    <row r="29" spans="2:8">
      <c r="B29" s="217"/>
      <c r="C29" s="217"/>
      <c r="D29" s="217"/>
      <c r="E29" s="217"/>
      <c r="F29" s="217"/>
      <c r="G29" s="217"/>
      <c r="H29" s="217"/>
    </row>
    <row r="30" spans="2:8">
      <c r="B30" s="217"/>
      <c r="C30" s="217"/>
      <c r="D30" s="217"/>
      <c r="E30" s="217"/>
      <c r="F30" s="217"/>
      <c r="G30" s="217"/>
      <c r="H30" s="217"/>
    </row>
    <row r="31" spans="2:8" ht="15">
      <c r="B31" s="16"/>
      <c r="C31" s="15"/>
      <c r="D31" s="15"/>
      <c r="E31" s="15"/>
    </row>
    <row r="32" spans="2:8" ht="12.75" customHeight="1">
      <c r="C32" s="212" t="s">
        <v>48</v>
      </c>
      <c r="D32" s="212"/>
      <c r="E32" s="212"/>
      <c r="F32" s="212"/>
    </row>
    <row r="33" spans="2:8" ht="20.25">
      <c r="B33" s="19"/>
      <c r="C33" s="212"/>
      <c r="D33" s="212"/>
      <c r="E33" s="212"/>
      <c r="F33" s="212"/>
    </row>
    <row r="34" spans="2:8">
      <c r="B34" s="216" t="s">
        <v>45</v>
      </c>
      <c r="C34" s="217"/>
      <c r="D34" s="217"/>
      <c r="E34" s="217"/>
      <c r="F34" s="217"/>
      <c r="G34" s="217"/>
      <c r="H34" s="217"/>
    </row>
    <row r="35" spans="2:8">
      <c r="B35" s="217"/>
      <c r="C35" s="217"/>
      <c r="D35" s="217"/>
      <c r="E35" s="217"/>
      <c r="F35" s="217"/>
      <c r="G35" s="217"/>
      <c r="H35" s="217"/>
    </row>
    <row r="36" spans="2:8">
      <c r="B36" s="217"/>
      <c r="C36" s="217"/>
      <c r="D36" s="217"/>
      <c r="E36" s="217"/>
      <c r="F36" s="217"/>
      <c r="G36" s="217"/>
      <c r="H36" s="217"/>
    </row>
    <row r="37" spans="2:8">
      <c r="B37" s="217"/>
      <c r="C37" s="217"/>
      <c r="D37" s="217"/>
      <c r="E37" s="217"/>
      <c r="F37" s="217"/>
      <c r="G37" s="217"/>
      <c r="H37" s="217"/>
    </row>
    <row r="38" spans="2:8">
      <c r="B38" s="217"/>
      <c r="C38" s="217"/>
      <c r="D38" s="217"/>
      <c r="E38" s="217"/>
      <c r="F38" s="217"/>
      <c r="G38" s="217"/>
      <c r="H38" s="217"/>
    </row>
    <row r="39" spans="2:8">
      <c r="B39" s="217"/>
      <c r="C39" s="217"/>
      <c r="D39" s="217"/>
      <c r="E39" s="217"/>
      <c r="F39" s="217"/>
      <c r="G39" s="217"/>
      <c r="H39" s="217"/>
    </row>
    <row r="40" spans="2:8">
      <c r="B40" s="217"/>
      <c r="C40" s="217"/>
      <c r="D40" s="217"/>
      <c r="E40" s="217"/>
      <c r="F40" s="217"/>
      <c r="G40" s="217"/>
      <c r="H40" s="217"/>
    </row>
    <row r="41" spans="2:8" ht="15">
      <c r="B41" s="16"/>
      <c r="C41" s="15"/>
      <c r="D41" s="15"/>
      <c r="E41" s="15"/>
    </row>
    <row r="42" spans="2:8" ht="15.75" thickBot="1">
      <c r="B42" s="16"/>
      <c r="C42" s="15"/>
      <c r="D42" s="15"/>
      <c r="E42" s="15"/>
    </row>
    <row r="43" spans="2:8" s="23" customFormat="1" ht="24.95" customHeight="1" thickBot="1">
      <c r="C43" s="20" t="s">
        <v>31</v>
      </c>
      <c r="D43" s="218" t="s">
        <v>32</v>
      </c>
      <c r="E43" s="219"/>
      <c r="F43" s="21" t="s">
        <v>37</v>
      </c>
      <c r="G43" s="22" t="s">
        <v>38</v>
      </c>
    </row>
    <row r="44" spans="2:8" s="23" customFormat="1" ht="24.95" customHeight="1">
      <c r="C44" s="25">
        <v>1</v>
      </c>
      <c r="D44" s="220" t="s">
        <v>33</v>
      </c>
      <c r="E44" s="221"/>
      <c r="F44" s="25" t="s">
        <v>39</v>
      </c>
      <c r="G44" s="25" t="s">
        <v>39</v>
      </c>
    </row>
    <row r="45" spans="2:8" s="23" customFormat="1" ht="24.95" customHeight="1">
      <c r="C45" s="24">
        <v>2</v>
      </c>
      <c r="D45" s="213" t="s">
        <v>34</v>
      </c>
      <c r="E45" s="214"/>
      <c r="F45" s="24" t="s">
        <v>40</v>
      </c>
      <c r="G45" s="24" t="s">
        <v>40</v>
      </c>
    </row>
    <row r="46" spans="2:8" s="23" customFormat="1" ht="24.95" customHeight="1">
      <c r="C46" s="24">
        <v>3</v>
      </c>
      <c r="D46" s="213" t="s">
        <v>35</v>
      </c>
      <c r="E46" s="214"/>
      <c r="F46" s="24" t="s">
        <v>41</v>
      </c>
      <c r="G46" s="24" t="s">
        <v>41</v>
      </c>
    </row>
    <row r="47" spans="2:8" ht="15">
      <c r="B47" s="16" t="s">
        <v>36</v>
      </c>
      <c r="C47" s="15"/>
      <c r="D47" s="15"/>
      <c r="E47" s="15"/>
    </row>
  </sheetData>
  <mergeCells count="10">
    <mergeCell ref="C32:F33"/>
    <mergeCell ref="D45:E45"/>
    <mergeCell ref="D46:E46"/>
    <mergeCell ref="E13:H17"/>
    <mergeCell ref="B21:H24"/>
    <mergeCell ref="B28:H30"/>
    <mergeCell ref="B34:H40"/>
    <mergeCell ref="D43:E43"/>
    <mergeCell ref="D44:E44"/>
    <mergeCell ref="D26:F27"/>
  </mergeCells>
  <pageMargins left="0.75" right="0.25" top="0.75" bottom="0.25" header="0.5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4"/>
  <sheetViews>
    <sheetView topLeftCell="A10" workbookViewId="0">
      <selection activeCell="D2" sqref="D2:J5"/>
    </sheetView>
  </sheetViews>
  <sheetFormatPr defaultRowHeight="15.75"/>
  <cols>
    <col min="1" max="7" width="9.140625" style="83"/>
    <col min="8" max="8" width="17.85546875" style="83" bestFit="1" customWidth="1"/>
    <col min="9" max="9" width="3" style="83" customWidth="1"/>
    <col min="10" max="10" width="3.140625" style="83" customWidth="1"/>
    <col min="11" max="11" width="3.42578125" style="83" customWidth="1"/>
    <col min="12" max="16384" width="9.140625" style="83"/>
  </cols>
  <sheetData>
    <row r="2" spans="1:12" ht="15.75" customHeight="1">
      <c r="C2" s="92" t="s">
        <v>6</v>
      </c>
      <c r="D2" s="223" t="s">
        <v>698</v>
      </c>
      <c r="E2" s="223"/>
      <c r="F2" s="223"/>
      <c r="G2" s="223"/>
      <c r="H2" s="223"/>
      <c r="I2" s="223"/>
      <c r="J2" s="223"/>
      <c r="K2" s="93"/>
      <c r="L2" s="93"/>
    </row>
    <row r="3" spans="1:12">
      <c r="D3" s="223"/>
      <c r="E3" s="223"/>
      <c r="F3" s="223"/>
      <c r="G3" s="223"/>
      <c r="H3" s="223"/>
      <c r="I3" s="223"/>
      <c r="J3" s="223"/>
      <c r="K3" s="93"/>
      <c r="L3" s="93"/>
    </row>
    <row r="4" spans="1:12">
      <c r="D4" s="223"/>
      <c r="E4" s="223"/>
      <c r="F4" s="223"/>
      <c r="G4" s="223"/>
      <c r="H4" s="223"/>
      <c r="I4" s="223"/>
      <c r="J4" s="223"/>
      <c r="K4" s="93"/>
      <c r="L4" s="93"/>
    </row>
    <row r="5" spans="1:12">
      <c r="D5" s="223"/>
      <c r="E5" s="223"/>
      <c r="F5" s="223"/>
      <c r="G5" s="223"/>
      <c r="H5" s="223"/>
      <c r="I5" s="223"/>
      <c r="J5" s="223"/>
      <c r="K5" s="94"/>
    </row>
    <row r="6" spans="1:12" ht="27">
      <c r="F6" s="95" t="s">
        <v>63</v>
      </c>
      <c r="I6" s="95"/>
    </row>
    <row r="8" spans="1:12" s="96" customFormat="1">
      <c r="A8" s="169"/>
      <c r="B8" s="170" t="s">
        <v>62</v>
      </c>
      <c r="C8" s="171" t="s">
        <v>61</v>
      </c>
      <c r="D8" s="172"/>
      <c r="E8" s="172"/>
      <c r="F8" s="172"/>
      <c r="G8" s="173"/>
      <c r="H8" s="225" t="s">
        <v>60</v>
      </c>
      <c r="I8" s="225"/>
      <c r="J8" s="226"/>
      <c r="K8" s="226"/>
    </row>
    <row r="10" spans="1:12">
      <c r="C10" s="42" t="s">
        <v>378</v>
      </c>
    </row>
    <row r="11" spans="1:12">
      <c r="B11" s="97" t="s">
        <v>59</v>
      </c>
      <c r="C11" s="98" t="s">
        <v>58</v>
      </c>
      <c r="D11" s="98"/>
      <c r="H11" s="99">
        <v>1982847</v>
      </c>
      <c r="I11" s="100" t="s">
        <v>9</v>
      </c>
    </row>
    <row r="13" spans="1:12" s="101" customFormat="1">
      <c r="B13" s="83"/>
      <c r="C13" s="42" t="s">
        <v>377</v>
      </c>
      <c r="D13" s="83"/>
      <c r="E13" s="83"/>
      <c r="F13" s="83"/>
      <c r="G13" s="83"/>
      <c r="H13" s="83"/>
      <c r="I13" s="83"/>
      <c r="J13" s="83"/>
    </row>
    <row r="14" spans="1:12" s="101" customFormat="1">
      <c r="B14" s="97" t="s">
        <v>59</v>
      </c>
      <c r="C14" s="98" t="s">
        <v>58</v>
      </c>
      <c r="D14" s="98"/>
      <c r="E14" s="83"/>
      <c r="F14" s="83"/>
      <c r="G14" s="83"/>
      <c r="H14" s="99">
        <v>1911920</v>
      </c>
      <c r="I14" s="100" t="s">
        <v>9</v>
      </c>
      <c r="J14" s="83"/>
    </row>
    <row r="15" spans="1:12" s="101" customFormat="1">
      <c r="B15" s="97"/>
      <c r="C15" s="98"/>
      <c r="D15" s="98"/>
      <c r="E15" s="83"/>
      <c r="F15" s="83"/>
      <c r="G15" s="83"/>
      <c r="H15" s="99"/>
      <c r="I15" s="100"/>
      <c r="J15" s="83"/>
    </row>
    <row r="16" spans="1:12" s="101" customFormat="1">
      <c r="B16" s="97"/>
      <c r="C16" s="98"/>
      <c r="D16" s="98"/>
      <c r="E16" s="83"/>
      <c r="F16" s="83"/>
      <c r="G16" s="83"/>
      <c r="H16" s="99"/>
      <c r="I16" s="100"/>
      <c r="J16" s="83"/>
    </row>
    <row r="17" spans="1:12" s="101" customFormat="1">
      <c r="B17" s="97"/>
      <c r="C17" s="42" t="s">
        <v>376</v>
      </c>
      <c r="D17" s="103"/>
      <c r="H17" s="104"/>
      <c r="I17" s="105"/>
    </row>
    <row r="18" spans="1:12" s="101" customFormat="1">
      <c r="B18" s="97" t="s">
        <v>57</v>
      </c>
      <c r="C18" s="98" t="s">
        <v>56</v>
      </c>
      <c r="D18" s="98"/>
      <c r="E18" s="83"/>
      <c r="F18" s="83"/>
      <c r="G18" s="83"/>
      <c r="H18" s="99">
        <v>1130806</v>
      </c>
      <c r="I18" s="100" t="s">
        <v>9</v>
      </c>
    </row>
    <row r="19" spans="1:12">
      <c r="A19" s="101"/>
      <c r="B19" s="97"/>
      <c r="C19" s="98"/>
      <c r="D19" s="103"/>
      <c r="E19" s="101"/>
      <c r="F19" s="101"/>
      <c r="G19" s="101"/>
      <c r="H19" s="104"/>
      <c r="I19" s="105"/>
      <c r="J19" s="101"/>
      <c r="K19" s="101"/>
      <c r="L19" s="101"/>
    </row>
    <row r="20" spans="1:12">
      <c r="A20" s="101"/>
      <c r="B20" s="106"/>
      <c r="D20" s="101"/>
      <c r="E20" s="101"/>
      <c r="F20" s="101"/>
      <c r="G20" s="101"/>
      <c r="H20" s="102"/>
      <c r="I20" s="105"/>
      <c r="J20" s="101"/>
      <c r="K20" s="101"/>
      <c r="L20" s="101"/>
    </row>
    <row r="21" spans="1:12">
      <c r="C21" s="42"/>
      <c r="I21" s="98"/>
    </row>
    <row r="22" spans="1:12">
      <c r="B22" s="97"/>
      <c r="C22" s="98"/>
      <c r="D22" s="98"/>
      <c r="H22" s="99"/>
      <c r="I22" s="105"/>
    </row>
    <row r="23" spans="1:12">
      <c r="B23" s="97"/>
      <c r="C23" s="98"/>
      <c r="D23" s="98"/>
      <c r="H23" s="99"/>
      <c r="I23" s="105"/>
    </row>
    <row r="24" spans="1:12">
      <c r="B24" s="97"/>
      <c r="C24" s="98"/>
      <c r="D24" s="98"/>
      <c r="H24" s="99"/>
      <c r="I24" s="100"/>
    </row>
    <row r="25" spans="1:12">
      <c r="B25" s="106"/>
      <c r="H25" s="107"/>
      <c r="I25" s="100"/>
    </row>
    <row r="26" spans="1:12">
      <c r="C26" s="42"/>
    </row>
    <row r="27" spans="1:12">
      <c r="B27" s="97"/>
      <c r="C27" s="98"/>
      <c r="D27" s="98"/>
      <c r="H27" s="99"/>
      <c r="I27" s="105"/>
    </row>
    <row r="28" spans="1:12">
      <c r="B28" s="106"/>
      <c r="H28" s="107"/>
      <c r="I28" s="100"/>
    </row>
    <row r="29" spans="1:12" s="101" customFormat="1" ht="16.5" thickBot="1">
      <c r="A29" s="83"/>
      <c r="B29" s="83"/>
      <c r="C29" s="42"/>
      <c r="D29" s="83"/>
      <c r="E29" s="83"/>
      <c r="F29" s="83"/>
      <c r="G29" s="83"/>
      <c r="H29" s="83"/>
      <c r="I29" s="83"/>
      <c r="J29" s="83"/>
      <c r="K29" s="83"/>
      <c r="L29" s="83"/>
    </row>
    <row r="30" spans="1:12" s="101" customFormat="1" ht="16.5" thickBot="1">
      <c r="A30" s="101" t="s">
        <v>695</v>
      </c>
      <c r="F30" s="103"/>
      <c r="G30" s="92" t="s">
        <v>55</v>
      </c>
      <c r="H30" s="108">
        <f>SUM(H11:H18)</f>
        <v>5025573</v>
      </c>
      <c r="I30" s="109" t="s">
        <v>9</v>
      </c>
      <c r="J30" s="83"/>
      <c r="K30" s="83"/>
      <c r="L30" s="83"/>
    </row>
    <row r="31" spans="1:12" s="101" customFormat="1">
      <c r="B31" s="97"/>
      <c r="C31" s="98"/>
      <c r="D31" s="98"/>
      <c r="E31" s="83"/>
      <c r="F31" s="83"/>
      <c r="G31" s="83"/>
      <c r="H31" s="99"/>
      <c r="I31" s="105"/>
    </row>
    <row r="32" spans="1:12" s="101" customFormat="1" ht="16.5" thickBot="1">
      <c r="B32" s="106"/>
      <c r="C32" s="83"/>
      <c r="D32" s="83"/>
      <c r="E32" s="83"/>
      <c r="F32" s="83"/>
      <c r="G32" s="83"/>
      <c r="H32" s="99"/>
      <c r="I32" s="105"/>
    </row>
    <row r="33" spans="1:12" s="101" customFormat="1" ht="16.5" thickBot="1">
      <c r="A33" s="101" t="s">
        <v>696</v>
      </c>
      <c r="D33" s="101" t="s">
        <v>699</v>
      </c>
      <c r="F33" s="103"/>
      <c r="G33" s="92" t="s">
        <v>55</v>
      </c>
      <c r="H33" s="108">
        <f>2*5025573</f>
        <v>10051146</v>
      </c>
      <c r="I33" s="109" t="s">
        <v>9</v>
      </c>
    </row>
    <row r="34" spans="1:12" s="101" customFormat="1">
      <c r="B34" s="97"/>
      <c r="C34" s="98"/>
      <c r="D34" s="98"/>
      <c r="E34" s="83"/>
      <c r="F34" s="83"/>
      <c r="G34" s="83"/>
      <c r="H34" s="99"/>
      <c r="I34" s="105"/>
    </row>
    <row r="35" spans="1:12" s="101" customFormat="1">
      <c r="B35" s="106"/>
      <c r="C35" s="83"/>
      <c r="D35" s="83"/>
      <c r="E35" s="83"/>
      <c r="F35" s="83"/>
      <c r="G35" s="83"/>
      <c r="H35" s="99"/>
      <c r="I35" s="105"/>
    </row>
    <row r="36" spans="1:12" s="101" customFormat="1">
      <c r="F36" s="103"/>
      <c r="G36" s="97"/>
      <c r="H36" s="111"/>
      <c r="I36" s="112"/>
      <c r="J36" s="110"/>
      <c r="K36" s="100"/>
    </row>
    <row r="37" spans="1:12" s="101" customFormat="1">
      <c r="G37" s="106"/>
      <c r="H37" s="111"/>
      <c r="I37" s="112"/>
      <c r="J37" s="110"/>
      <c r="K37" s="100"/>
    </row>
    <row r="38" spans="1:12" s="101" customFormat="1">
      <c r="G38" s="106"/>
      <c r="H38" s="111"/>
      <c r="I38" s="112"/>
      <c r="J38" s="110"/>
      <c r="K38" s="100"/>
    </row>
    <row r="39" spans="1:12" s="101" customFormat="1">
      <c r="A39" s="83"/>
      <c r="B39" s="96"/>
      <c r="C39" s="113" t="s">
        <v>54</v>
      </c>
      <c r="D39" s="113"/>
      <c r="E39" s="114"/>
      <c r="F39" s="83"/>
      <c r="G39" s="166" t="s">
        <v>53</v>
      </c>
      <c r="H39" s="166"/>
      <c r="I39" s="166"/>
      <c r="J39" s="166"/>
      <c r="K39" s="100"/>
    </row>
    <row r="40" spans="1:12" s="101" customFormat="1">
      <c r="A40" s="224" t="s">
        <v>64</v>
      </c>
      <c r="B40" s="224"/>
      <c r="C40" s="224"/>
      <c r="D40" s="224"/>
      <c r="E40" s="224"/>
      <c r="F40" s="115"/>
      <c r="G40" s="165" t="s">
        <v>65</v>
      </c>
      <c r="H40" s="165"/>
      <c r="I40" s="165"/>
      <c r="J40" s="165"/>
      <c r="K40" s="100"/>
    </row>
    <row r="41" spans="1:12">
      <c r="C41" s="115" t="s">
        <v>52</v>
      </c>
      <c r="D41" s="115"/>
      <c r="E41" s="115"/>
      <c r="G41" s="165" t="s">
        <v>52</v>
      </c>
      <c r="H41" s="165"/>
      <c r="I41" s="165"/>
      <c r="J41" s="165"/>
      <c r="K41" s="100"/>
      <c r="L41" s="101"/>
    </row>
    <row r="42" spans="1:12">
      <c r="K42" s="166"/>
      <c r="L42" s="101"/>
    </row>
    <row r="43" spans="1:12">
      <c r="F43" s="116"/>
      <c r="K43" s="165"/>
    </row>
    <row r="44" spans="1:12">
      <c r="K44" s="165"/>
    </row>
  </sheetData>
  <mergeCells count="4">
    <mergeCell ref="D2:J5"/>
    <mergeCell ref="A40:E40"/>
    <mergeCell ref="H8:I8"/>
    <mergeCell ref="J8:K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481"/>
  <sheetViews>
    <sheetView tabSelected="1" view="pageBreakPreview" topLeftCell="A133" workbookViewId="0">
      <selection activeCell="C1" sqref="C1:K3"/>
    </sheetView>
  </sheetViews>
  <sheetFormatPr defaultRowHeight="15"/>
  <cols>
    <col min="1" max="1" width="5.7109375" style="37" customWidth="1"/>
    <col min="2" max="2" width="16.5703125" style="38" customWidth="1"/>
    <col min="3" max="3" width="20.7109375" style="38" customWidth="1"/>
    <col min="4" max="4" width="10.5703125" style="38" customWidth="1"/>
    <col min="5" max="5" width="4.85546875" style="38" customWidth="1"/>
    <col min="6" max="6" width="8" style="38" customWidth="1"/>
    <col min="7" max="7" width="0.85546875" style="38" customWidth="1"/>
    <col min="8" max="8" width="3.42578125" style="64" customWidth="1"/>
    <col min="9" max="9" width="8.140625" style="38" customWidth="1"/>
    <col min="10" max="10" width="12.7109375" style="38" customWidth="1"/>
    <col min="11" max="11" width="2.28515625" style="38" customWidth="1"/>
    <col min="12" max="12" width="4.140625" style="38" customWidth="1"/>
    <col min="13" max="13" width="11.28515625" style="38" bestFit="1" customWidth="1"/>
    <col min="14" max="16384" width="9.140625" style="38"/>
  </cols>
  <sheetData>
    <row r="1" spans="1:11" ht="15" customHeight="1">
      <c r="A1" s="37" t="s">
        <v>6</v>
      </c>
      <c r="B1" s="37"/>
      <c r="C1" s="227" t="s">
        <v>765</v>
      </c>
      <c r="D1" s="227"/>
      <c r="E1" s="227"/>
      <c r="F1" s="227"/>
      <c r="G1" s="227"/>
      <c r="H1" s="227"/>
      <c r="I1" s="227"/>
      <c r="J1" s="227"/>
      <c r="K1" s="227"/>
    </row>
    <row r="2" spans="1:11" ht="18" customHeight="1">
      <c r="C2" s="227"/>
      <c r="D2" s="227"/>
      <c r="E2" s="227"/>
      <c r="F2" s="227"/>
      <c r="G2" s="227"/>
      <c r="H2" s="227"/>
      <c r="I2" s="227"/>
      <c r="J2" s="227"/>
      <c r="K2" s="227"/>
    </row>
    <row r="3" spans="1:11" ht="9" customHeight="1">
      <c r="C3" s="227"/>
      <c r="D3" s="227"/>
      <c r="E3" s="227"/>
      <c r="F3" s="227"/>
      <c r="G3" s="227"/>
      <c r="H3" s="227"/>
      <c r="I3" s="227"/>
      <c r="J3" s="227"/>
      <c r="K3" s="227"/>
    </row>
    <row r="4" spans="1:11" ht="15" customHeight="1" thickBot="1">
      <c r="C4" s="37"/>
      <c r="D4" s="39" t="s">
        <v>709</v>
      </c>
      <c r="E4" s="40"/>
      <c r="F4" s="40"/>
      <c r="G4" s="41"/>
      <c r="H4" s="42"/>
    </row>
    <row r="5" spans="1:11" ht="15" customHeight="1" thickBot="1">
      <c r="A5" s="43" t="s">
        <v>5</v>
      </c>
      <c r="B5" s="44" t="s">
        <v>14</v>
      </c>
      <c r="C5" s="45"/>
      <c r="D5" s="46" t="s">
        <v>13</v>
      </c>
      <c r="E5" s="45"/>
      <c r="F5" s="45" t="s">
        <v>12</v>
      </c>
      <c r="G5" s="46"/>
      <c r="H5" s="47"/>
      <c r="I5" s="48" t="s">
        <v>10</v>
      </c>
      <c r="J5" s="45" t="s">
        <v>11</v>
      </c>
      <c r="K5" s="49"/>
    </row>
    <row r="6" spans="1:11" ht="17.25" customHeight="1">
      <c r="A6" s="50"/>
      <c r="B6" s="29" t="s">
        <v>736</v>
      </c>
      <c r="D6" s="50"/>
      <c r="E6" s="50"/>
      <c r="F6" s="50"/>
      <c r="G6" s="50"/>
      <c r="H6" s="51"/>
      <c r="I6" s="50"/>
      <c r="J6" s="50"/>
      <c r="K6" s="50"/>
    </row>
    <row r="7" spans="1:11" ht="14.1" customHeight="1">
      <c r="A7" s="52">
        <v>1</v>
      </c>
      <c r="B7" s="202" t="s">
        <v>254</v>
      </c>
      <c r="C7" s="53"/>
      <c r="D7" s="76"/>
      <c r="E7" s="77"/>
      <c r="F7" s="57"/>
      <c r="G7" s="60"/>
      <c r="H7" s="77"/>
      <c r="I7" s="60"/>
      <c r="J7" s="57"/>
      <c r="K7" s="77"/>
    </row>
    <row r="8" spans="1:11" ht="14.1" customHeight="1">
      <c r="A8" s="52"/>
      <c r="B8" s="202" t="s">
        <v>255</v>
      </c>
      <c r="C8" s="53"/>
      <c r="D8" s="76"/>
      <c r="E8" s="77"/>
      <c r="F8" s="57"/>
      <c r="G8" s="60"/>
      <c r="H8" s="77"/>
      <c r="I8" s="60"/>
      <c r="J8" s="57"/>
      <c r="K8" s="77"/>
    </row>
    <row r="9" spans="1:11" ht="14.1" customHeight="1">
      <c r="A9" s="52"/>
      <c r="B9" s="202" t="s">
        <v>256</v>
      </c>
      <c r="C9" s="53"/>
      <c r="D9" s="91"/>
      <c r="E9" s="56"/>
      <c r="F9" s="57"/>
      <c r="G9" s="58"/>
      <c r="H9" s="59"/>
      <c r="I9" s="60"/>
      <c r="J9" s="61"/>
      <c r="K9" s="62"/>
    </row>
    <row r="10" spans="1:11" ht="14.1" customHeight="1">
      <c r="A10" s="52"/>
      <c r="B10" s="202" t="s">
        <v>257</v>
      </c>
      <c r="C10" s="53"/>
      <c r="D10" s="91"/>
      <c r="E10" s="56"/>
      <c r="F10" s="57"/>
      <c r="G10" s="58"/>
      <c r="H10" s="59"/>
      <c r="I10" s="60"/>
      <c r="J10" s="61"/>
      <c r="K10" s="62"/>
    </row>
    <row r="11" spans="1:11" ht="14.1" customHeight="1">
      <c r="A11" s="52"/>
      <c r="B11" s="202" t="s">
        <v>258</v>
      </c>
      <c r="C11" s="53"/>
      <c r="D11" s="91"/>
      <c r="E11" s="56"/>
      <c r="F11" s="57"/>
      <c r="G11" s="58"/>
      <c r="H11" s="59"/>
      <c r="I11" s="60"/>
      <c r="J11" s="61"/>
      <c r="K11" s="62"/>
    </row>
    <row r="12" spans="1:11" ht="14.1" customHeight="1">
      <c r="A12" s="52"/>
      <c r="B12" s="202" t="s">
        <v>260</v>
      </c>
      <c r="C12" s="53"/>
      <c r="D12" s="91">
        <f>Mes!J35</f>
        <v>1860</v>
      </c>
      <c r="E12" s="56" t="s">
        <v>82</v>
      </c>
      <c r="F12" s="57">
        <v>3176</v>
      </c>
      <c r="G12" s="58" t="s">
        <v>7</v>
      </c>
      <c r="H12" s="59">
        <v>25</v>
      </c>
      <c r="I12" s="60" t="s">
        <v>259</v>
      </c>
      <c r="J12" s="61">
        <v>5908</v>
      </c>
      <c r="K12" s="62" t="s">
        <v>9</v>
      </c>
    </row>
    <row r="13" spans="1:11" ht="14.1" customHeight="1">
      <c r="A13" s="52"/>
      <c r="B13" s="202"/>
      <c r="C13" s="53"/>
      <c r="D13" s="228" t="s">
        <v>738</v>
      </c>
      <c r="E13" s="228"/>
      <c r="F13" s="228"/>
      <c r="G13" s="228"/>
      <c r="H13" s="228"/>
      <c r="I13" s="228"/>
      <c r="J13" s="228"/>
      <c r="K13" s="228"/>
    </row>
    <row r="14" spans="1:11" ht="14.1" customHeight="1">
      <c r="A14" s="52">
        <v>2</v>
      </c>
      <c r="B14" s="208" t="s">
        <v>261</v>
      </c>
      <c r="C14" s="63"/>
      <c r="D14" s="55"/>
      <c r="E14" s="56"/>
      <c r="F14" s="57"/>
      <c r="G14" s="58"/>
      <c r="H14" s="59"/>
      <c r="I14" s="60"/>
      <c r="J14" s="61"/>
      <c r="K14" s="62"/>
    </row>
    <row r="15" spans="1:11" ht="14.1" customHeight="1">
      <c r="A15" s="52"/>
      <c r="B15" s="208" t="s">
        <v>262</v>
      </c>
      <c r="C15" s="63"/>
    </row>
    <row r="16" spans="1:11" ht="14.1" customHeight="1">
      <c r="A16" s="52"/>
      <c r="B16" s="202" t="s">
        <v>263</v>
      </c>
      <c r="C16" s="53"/>
      <c r="D16" s="91">
        <f>Mes!J40</f>
        <v>4115</v>
      </c>
      <c r="E16" s="56" t="s">
        <v>82</v>
      </c>
      <c r="F16" s="57">
        <v>28672</v>
      </c>
      <c r="G16" s="58" t="s">
        <v>7</v>
      </c>
      <c r="H16" s="59">
        <v>5</v>
      </c>
      <c r="I16" s="60" t="s">
        <v>259</v>
      </c>
      <c r="J16" s="61">
        <v>117985</v>
      </c>
      <c r="K16" s="62" t="s">
        <v>9</v>
      </c>
    </row>
    <row r="17" spans="1:11" ht="14.1" customHeight="1">
      <c r="A17" s="52"/>
      <c r="B17" s="202"/>
      <c r="C17" s="53"/>
      <c r="D17" s="229" t="s">
        <v>739</v>
      </c>
      <c r="E17" s="229"/>
      <c r="F17" s="229"/>
      <c r="G17" s="229"/>
      <c r="H17" s="229"/>
      <c r="I17" s="229"/>
      <c r="J17" s="229"/>
      <c r="K17" s="229"/>
    </row>
    <row r="18" spans="1:11" ht="14.1" customHeight="1">
      <c r="A18" s="114">
        <v>3</v>
      </c>
      <c r="B18" s="96" t="s">
        <v>264</v>
      </c>
      <c r="C18" s="83"/>
      <c r="D18" s="97"/>
      <c r="E18" s="128"/>
      <c r="F18" s="128"/>
      <c r="G18" s="106"/>
      <c r="H18" s="83"/>
      <c r="I18" s="83"/>
      <c r="J18" s="83"/>
      <c r="K18" s="83"/>
    </row>
    <row r="19" spans="1:11" ht="14.1" customHeight="1">
      <c r="A19" s="114"/>
      <c r="B19" s="96" t="s">
        <v>265</v>
      </c>
      <c r="C19" s="83"/>
      <c r="D19" s="131">
        <f>Mes!J45</f>
        <v>620</v>
      </c>
      <c r="E19" s="132" t="s">
        <v>82</v>
      </c>
      <c r="F19" s="106">
        <v>9416</v>
      </c>
      <c r="G19" s="133" t="s">
        <v>7</v>
      </c>
      <c r="H19" s="132">
        <v>28</v>
      </c>
      <c r="I19" s="128" t="s">
        <v>266</v>
      </c>
      <c r="J19" s="134">
        <f>IF(MID(I19,1,2)=("P."),(ROUND(D19*((F19)+(H19/100)),)),IF(MID(I19,1,2)=("%o"),(ROUND(D19*(((F19)+(H19/100))/1000),)),IF(MID(I19,1,2)=("Ea"),(ROUND(D19*((F19)+(H19/100)),)),ROUND(D19*(((F19)+(H19/100))/100),))))</f>
        <v>58381</v>
      </c>
      <c r="K19" s="135" t="s">
        <v>9</v>
      </c>
    </row>
    <row r="20" spans="1:11" ht="14.1" customHeight="1">
      <c r="A20" s="114"/>
      <c r="B20" s="96"/>
      <c r="C20" s="83"/>
      <c r="D20" s="230" t="s">
        <v>740</v>
      </c>
      <c r="E20" s="230"/>
      <c r="F20" s="230"/>
      <c r="G20" s="230"/>
      <c r="H20" s="230"/>
      <c r="I20" s="230"/>
      <c r="J20" s="230"/>
      <c r="K20" s="230"/>
    </row>
    <row r="21" spans="1:11" ht="14.1" customHeight="1">
      <c r="A21" s="52">
        <v>4</v>
      </c>
      <c r="B21" s="202" t="s">
        <v>267</v>
      </c>
      <c r="C21" s="54"/>
      <c r="D21" s="55"/>
      <c r="E21" s="56"/>
      <c r="F21" s="57"/>
      <c r="G21" s="58"/>
      <c r="H21" s="59"/>
      <c r="I21" s="60"/>
      <c r="J21" s="61"/>
      <c r="K21" s="62"/>
    </row>
    <row r="22" spans="1:11" ht="14.1" customHeight="1">
      <c r="A22" s="52"/>
      <c r="B22" s="202" t="s">
        <v>268</v>
      </c>
      <c r="C22" s="54"/>
      <c r="D22" s="55"/>
      <c r="E22" s="56"/>
      <c r="F22" s="57"/>
      <c r="G22" s="58"/>
      <c r="H22" s="59"/>
      <c r="I22" s="60"/>
      <c r="J22" s="61"/>
      <c r="K22" s="62"/>
    </row>
    <row r="23" spans="1:11" ht="14.1" customHeight="1">
      <c r="A23" s="52"/>
      <c r="B23" s="202" t="s">
        <v>269</v>
      </c>
      <c r="C23" s="54"/>
      <c r="D23" s="55"/>
      <c r="E23" s="56"/>
      <c r="F23" s="57"/>
      <c r="G23" s="58"/>
      <c r="H23" s="59"/>
      <c r="I23" s="60"/>
      <c r="J23" s="61"/>
      <c r="K23" s="62"/>
    </row>
    <row r="24" spans="1:11" ht="14.1" customHeight="1">
      <c r="A24" s="52"/>
      <c r="B24" s="202" t="s">
        <v>270</v>
      </c>
      <c r="C24" s="54"/>
      <c r="D24" s="55"/>
      <c r="E24" s="56"/>
      <c r="F24" s="57"/>
      <c r="G24" s="58"/>
      <c r="H24" s="59"/>
      <c r="I24" s="60"/>
      <c r="J24" s="61"/>
      <c r="K24" s="62"/>
    </row>
    <row r="25" spans="1:11" ht="14.1" customHeight="1">
      <c r="A25" s="52"/>
      <c r="B25" s="202" t="s">
        <v>271</v>
      </c>
      <c r="C25" s="54"/>
      <c r="D25" s="55">
        <f>Mes!J63</f>
        <v>415.80199999999996</v>
      </c>
      <c r="E25" s="56" t="s">
        <v>82</v>
      </c>
      <c r="F25" s="57">
        <v>14268</v>
      </c>
      <c r="G25" s="58" t="s">
        <v>7</v>
      </c>
      <c r="H25" s="59">
        <v>53</v>
      </c>
      <c r="I25" s="60" t="s">
        <v>272</v>
      </c>
      <c r="J25" s="61">
        <f>IF(MID(I25,1,2)=("P."),(ROUND(D25*((F25)+(H25/100)),)),IF(MID(I25,1,2)=("%o"),(ROUND(D25*(((F25)+(H25/100))/1000),)),IF(MID(I25,1,2)=("Ea"),(ROUND(D25*((F25)+(H25/100)),)),ROUND(D25*(((F25)+(H25/100))/100),))))</f>
        <v>59329</v>
      </c>
      <c r="K25" s="62" t="s">
        <v>9</v>
      </c>
    </row>
    <row r="26" spans="1:11" ht="14.1" customHeight="1">
      <c r="A26" s="114"/>
      <c r="B26" s="96"/>
      <c r="C26" s="83"/>
      <c r="D26" s="231" t="s">
        <v>741</v>
      </c>
      <c r="E26" s="231"/>
      <c r="F26" s="231"/>
      <c r="G26" s="231"/>
      <c r="H26" s="231"/>
      <c r="I26" s="231"/>
      <c r="J26" s="231"/>
      <c r="K26" s="231"/>
    </row>
    <row r="27" spans="1:11" ht="14.1" customHeight="1">
      <c r="A27" s="114">
        <v>5</v>
      </c>
      <c r="B27" s="204" t="s">
        <v>273</v>
      </c>
      <c r="C27" s="101"/>
      <c r="D27" s="97"/>
      <c r="E27" s="136"/>
      <c r="F27" s="106"/>
      <c r="G27" s="83"/>
      <c r="H27" s="132"/>
      <c r="I27" s="128"/>
      <c r="J27" s="137"/>
      <c r="K27" s="132"/>
    </row>
    <row r="28" spans="1:11" ht="14.1" customHeight="1">
      <c r="A28" s="114"/>
      <c r="B28" s="204" t="s">
        <v>274</v>
      </c>
      <c r="C28" s="101"/>
      <c r="D28" s="97"/>
      <c r="E28" s="136"/>
      <c r="F28" s="106"/>
      <c r="G28" s="83"/>
      <c r="H28" s="132"/>
      <c r="I28" s="128"/>
      <c r="J28" s="137"/>
      <c r="K28" s="132"/>
    </row>
    <row r="29" spans="1:11" ht="14.1" customHeight="1">
      <c r="A29" s="114"/>
      <c r="B29" s="204" t="s">
        <v>275</v>
      </c>
      <c r="C29" s="101"/>
      <c r="D29" s="97"/>
      <c r="E29" s="136"/>
      <c r="F29" s="106"/>
      <c r="G29" s="83"/>
      <c r="H29" s="132"/>
      <c r="I29" s="128"/>
      <c r="J29" s="137"/>
      <c r="K29" s="132"/>
    </row>
    <row r="30" spans="1:11" ht="14.1" customHeight="1">
      <c r="A30" s="114"/>
      <c r="B30" s="204" t="s">
        <v>276</v>
      </c>
      <c r="C30" s="101"/>
      <c r="D30" s="97"/>
      <c r="E30" s="136"/>
      <c r="F30" s="106"/>
      <c r="G30" s="83"/>
      <c r="H30" s="132"/>
      <c r="I30" s="128"/>
      <c r="J30" s="137"/>
      <c r="K30" s="132"/>
    </row>
    <row r="31" spans="1:11" ht="14.1" customHeight="1">
      <c r="A31" s="114"/>
      <c r="B31" s="204" t="s">
        <v>277</v>
      </c>
      <c r="C31" s="101"/>
      <c r="D31" s="97"/>
      <c r="E31" s="136"/>
      <c r="F31" s="106"/>
      <c r="G31" s="83"/>
      <c r="H31" s="132"/>
      <c r="I31" s="128"/>
      <c r="J31" s="137"/>
      <c r="K31" s="132"/>
    </row>
    <row r="32" spans="1:11" ht="14.1" customHeight="1">
      <c r="A32" s="114"/>
      <c r="B32" s="204" t="s">
        <v>278</v>
      </c>
      <c r="C32" s="101"/>
      <c r="D32" s="97"/>
      <c r="E32" s="136"/>
      <c r="F32" s="106"/>
      <c r="G32" s="83"/>
      <c r="H32" s="132"/>
      <c r="I32" s="128"/>
      <c r="J32" s="137"/>
      <c r="K32" s="132"/>
    </row>
    <row r="33" spans="1:11" ht="14.1" customHeight="1">
      <c r="A33" s="114"/>
      <c r="B33" s="204" t="s">
        <v>279</v>
      </c>
      <c r="C33" s="101"/>
      <c r="D33" s="97"/>
      <c r="E33" s="136"/>
      <c r="F33" s="106"/>
      <c r="G33" s="83"/>
      <c r="H33" s="132"/>
      <c r="I33" s="128"/>
      <c r="J33" s="137"/>
      <c r="K33" s="132"/>
    </row>
    <row r="34" spans="1:11" ht="14.1" customHeight="1">
      <c r="A34" s="114"/>
      <c r="B34" s="204" t="s">
        <v>280</v>
      </c>
      <c r="C34" s="101"/>
      <c r="D34" s="97"/>
      <c r="E34" s="136"/>
      <c r="F34" s="106"/>
      <c r="G34" s="83"/>
      <c r="H34" s="132"/>
      <c r="I34" s="128"/>
      <c r="J34" s="137"/>
      <c r="K34" s="132"/>
    </row>
    <row r="35" spans="1:11" ht="14.1" customHeight="1">
      <c r="A35" s="114"/>
      <c r="B35" s="204" t="s">
        <v>281</v>
      </c>
      <c r="C35" s="101"/>
      <c r="D35" s="97"/>
      <c r="E35" s="136"/>
      <c r="F35" s="106"/>
      <c r="G35" s="83"/>
      <c r="H35" s="132"/>
      <c r="I35" s="128"/>
      <c r="J35" s="137"/>
      <c r="K35" s="132"/>
    </row>
    <row r="36" spans="1:11" ht="14.1" customHeight="1">
      <c r="A36" s="114"/>
      <c r="B36" s="204" t="s">
        <v>282</v>
      </c>
      <c r="C36" s="101"/>
      <c r="D36" s="97"/>
      <c r="E36" s="136"/>
      <c r="F36" s="106"/>
      <c r="G36" s="83"/>
      <c r="H36" s="132"/>
      <c r="I36" s="128"/>
      <c r="J36" s="137"/>
      <c r="K36" s="132"/>
    </row>
    <row r="37" spans="1:11" ht="14.1" customHeight="1">
      <c r="A37" s="114"/>
      <c r="B37" s="204" t="s">
        <v>283</v>
      </c>
      <c r="C37" s="101"/>
      <c r="D37" s="97"/>
      <c r="E37" s="136"/>
      <c r="F37" s="106"/>
      <c r="G37" s="83"/>
      <c r="H37" s="132"/>
      <c r="I37" s="128"/>
      <c r="J37" s="137"/>
      <c r="K37" s="132"/>
    </row>
    <row r="38" spans="1:11" ht="14.1" customHeight="1">
      <c r="A38" s="114"/>
      <c r="B38" s="204" t="s">
        <v>284</v>
      </c>
      <c r="C38" s="101"/>
      <c r="D38" s="97"/>
      <c r="E38" s="136"/>
      <c r="F38" s="106"/>
      <c r="G38" s="83"/>
      <c r="H38" s="132"/>
      <c r="I38" s="128"/>
      <c r="J38" s="137"/>
      <c r="K38" s="132"/>
    </row>
    <row r="39" spans="1:11" ht="14.1" customHeight="1">
      <c r="A39" s="114"/>
      <c r="B39" s="204" t="s">
        <v>285</v>
      </c>
      <c r="C39" s="101"/>
      <c r="D39" s="138">
        <f>Mes!J88</f>
        <v>1881.182</v>
      </c>
      <c r="E39" s="136" t="s">
        <v>82</v>
      </c>
      <c r="F39" s="106">
        <v>337</v>
      </c>
      <c r="G39" s="133" t="s">
        <v>7</v>
      </c>
      <c r="H39" s="139">
        <v>0</v>
      </c>
      <c r="I39" s="128" t="s">
        <v>286</v>
      </c>
      <c r="J39" s="134">
        <f>IF(MID(I39,1,2)=("P."),(ROUND(D39*((F39)+(H39/100)),)),IF(MID(I39,1,2)=("%o"),(ROUND(D39*(((F39)+(H39/100))/1000),)),IF(MID(I39,1,2)=("Ea"),(ROUND(D39*((F39)+(H39/100)),)),ROUND(D39*(((F39)+(H39/100))/100),))))</f>
        <v>633958</v>
      </c>
      <c r="K39" s="135" t="s">
        <v>9</v>
      </c>
    </row>
    <row r="40" spans="1:11" ht="14.1" customHeight="1">
      <c r="A40" s="114"/>
      <c r="B40" s="96"/>
      <c r="C40" s="83"/>
      <c r="D40" s="232" t="s">
        <v>742</v>
      </c>
      <c r="E40" s="232"/>
      <c r="F40" s="232"/>
      <c r="G40" s="232"/>
      <c r="H40" s="232"/>
      <c r="I40" s="232"/>
      <c r="J40" s="232"/>
      <c r="K40" s="232"/>
    </row>
    <row r="41" spans="1:11" ht="14.1" customHeight="1">
      <c r="A41" s="114">
        <v>6</v>
      </c>
      <c r="B41" s="96" t="s">
        <v>287</v>
      </c>
      <c r="C41" s="83"/>
      <c r="D41" s="97"/>
      <c r="E41" s="128"/>
      <c r="F41" s="128"/>
      <c r="G41" s="106"/>
      <c r="H41" s="83"/>
      <c r="I41" s="83"/>
      <c r="J41" s="134"/>
      <c r="K41" s="83"/>
    </row>
    <row r="42" spans="1:11" ht="14.1" customHeight="1">
      <c r="A42" s="114"/>
      <c r="B42" s="96" t="s">
        <v>288</v>
      </c>
      <c r="C42" s="83"/>
      <c r="D42" s="97"/>
      <c r="E42" s="128"/>
      <c r="F42" s="128"/>
      <c r="G42" s="106"/>
      <c r="H42" s="83"/>
      <c r="I42" s="83"/>
      <c r="J42" s="83"/>
      <c r="K42" s="83"/>
    </row>
    <row r="43" spans="1:11" ht="14.1" customHeight="1">
      <c r="A43" s="114"/>
      <c r="B43" s="96" t="s">
        <v>289</v>
      </c>
      <c r="C43" s="83"/>
      <c r="D43" s="97"/>
      <c r="E43" s="128"/>
      <c r="F43" s="128"/>
      <c r="G43" s="106"/>
      <c r="H43" s="83"/>
      <c r="I43" s="83"/>
      <c r="J43" s="83"/>
      <c r="K43" s="83"/>
    </row>
    <row r="44" spans="1:11" ht="14.1" customHeight="1">
      <c r="A44" s="114"/>
      <c r="B44" s="96" t="s">
        <v>290</v>
      </c>
      <c r="C44" s="83"/>
      <c r="D44" s="97"/>
      <c r="E44" s="128"/>
      <c r="F44" s="128"/>
      <c r="G44" s="106"/>
      <c r="H44" s="83"/>
      <c r="I44" s="83"/>
      <c r="J44" s="83"/>
      <c r="K44" s="83"/>
    </row>
    <row r="45" spans="1:11" ht="14.1" customHeight="1">
      <c r="A45" s="114"/>
      <c r="B45" s="96" t="s">
        <v>291</v>
      </c>
      <c r="C45" s="83"/>
      <c r="D45" s="97"/>
      <c r="E45" s="128"/>
      <c r="F45" s="128"/>
      <c r="G45" s="106"/>
      <c r="H45" s="83"/>
      <c r="I45" s="83"/>
      <c r="J45" s="83"/>
      <c r="K45" s="83"/>
    </row>
    <row r="46" spans="1:11" ht="14.1" customHeight="1">
      <c r="A46" s="114"/>
      <c r="B46" s="96" t="s">
        <v>292</v>
      </c>
      <c r="C46" s="83"/>
      <c r="D46" s="138">
        <f>Mes!J91</f>
        <v>164.62026785714286</v>
      </c>
      <c r="E46" s="132" t="s">
        <v>253</v>
      </c>
      <c r="F46" s="106">
        <v>5001</v>
      </c>
      <c r="G46" s="140" t="s">
        <v>7</v>
      </c>
      <c r="H46" s="132">
        <v>70</v>
      </c>
      <c r="I46" s="128" t="s">
        <v>293</v>
      </c>
      <c r="J46" s="134">
        <f>IF(MID(I46,1,2)=("P."),(ROUND(D46*((F46)+(H46/100)),)),IF(MID(I46,1,2)=("%o"),(ROUND(D46*(((F46)+(H46/100))/1000),)),IF(MID(I46,1,2)=("Ea"),(ROUND(D46*((F46)+(H46/100)),)),ROUND(D46*(((F46)+(H46/100))/100),))))</f>
        <v>823381</v>
      </c>
      <c r="K46" s="135" t="s">
        <v>9</v>
      </c>
    </row>
    <row r="47" spans="1:11" ht="14.1" customHeight="1">
      <c r="A47" s="114"/>
      <c r="B47" s="96"/>
      <c r="C47" s="83"/>
      <c r="D47" s="232" t="s">
        <v>743</v>
      </c>
      <c r="E47" s="232"/>
      <c r="F47" s="232"/>
      <c r="G47" s="232"/>
      <c r="H47" s="232"/>
      <c r="I47" s="232"/>
      <c r="J47" s="232"/>
      <c r="K47" s="232"/>
    </row>
    <row r="48" spans="1:11" ht="14.1" customHeight="1">
      <c r="A48" s="114">
        <v>7</v>
      </c>
      <c r="B48" s="96" t="s">
        <v>294</v>
      </c>
      <c r="C48" s="83"/>
      <c r="D48" s="131"/>
      <c r="E48" s="132"/>
      <c r="F48" s="106"/>
      <c r="G48" s="133"/>
      <c r="H48" s="132"/>
      <c r="I48" s="128"/>
      <c r="J48" s="134"/>
      <c r="K48" s="135"/>
    </row>
    <row r="49" spans="1:11" ht="14.1" customHeight="1">
      <c r="A49" s="114"/>
      <c r="B49" s="96" t="s">
        <v>295</v>
      </c>
      <c r="C49" s="83"/>
      <c r="D49" s="131"/>
      <c r="E49" s="132"/>
      <c r="F49" s="106"/>
      <c r="G49" s="133"/>
      <c r="H49" s="132"/>
      <c r="I49" s="128"/>
      <c r="J49" s="134"/>
      <c r="K49" s="135"/>
    </row>
    <row r="50" spans="1:11" ht="14.1" customHeight="1">
      <c r="A50" s="114"/>
      <c r="B50" s="96" t="s">
        <v>296</v>
      </c>
      <c r="C50" s="83"/>
      <c r="D50" s="91">
        <f>Mes!J95</f>
        <v>1240</v>
      </c>
      <c r="E50" s="56" t="s">
        <v>82</v>
      </c>
      <c r="F50" s="57">
        <v>1512</v>
      </c>
      <c r="G50" s="58" t="s">
        <v>7</v>
      </c>
      <c r="H50" s="59">
        <v>50</v>
      </c>
      <c r="I50" s="60" t="s">
        <v>259</v>
      </c>
      <c r="J50" s="61">
        <v>1876</v>
      </c>
      <c r="K50" s="62" t="s">
        <v>9</v>
      </c>
    </row>
    <row r="51" spans="1:11" ht="14.1" customHeight="1">
      <c r="A51" s="114"/>
      <c r="B51" s="96"/>
      <c r="C51" s="83"/>
      <c r="D51" s="233" t="s">
        <v>744</v>
      </c>
      <c r="E51" s="233"/>
      <c r="F51" s="233"/>
      <c r="G51" s="233"/>
      <c r="H51" s="233"/>
      <c r="I51" s="233"/>
      <c r="J51" s="233"/>
      <c r="K51" s="233"/>
    </row>
    <row r="52" spans="1:11" ht="14.1" customHeight="1">
      <c r="A52" s="52">
        <v>8</v>
      </c>
      <c r="B52" s="209" t="s">
        <v>297</v>
      </c>
      <c r="C52" s="53"/>
      <c r="D52" s="91"/>
      <c r="E52" s="56"/>
      <c r="F52" s="57"/>
      <c r="G52" s="58"/>
      <c r="H52" s="59"/>
      <c r="I52" s="60"/>
      <c r="J52" s="61"/>
      <c r="K52" s="62"/>
    </row>
    <row r="53" spans="1:11" ht="14.1" customHeight="1">
      <c r="A53" s="52"/>
      <c r="B53" s="209" t="s">
        <v>298</v>
      </c>
      <c r="C53" s="53"/>
      <c r="D53" s="91"/>
      <c r="E53" s="56"/>
      <c r="F53" s="57"/>
      <c r="G53" s="58"/>
      <c r="H53" s="59"/>
      <c r="I53" s="60"/>
      <c r="J53" s="61"/>
      <c r="K53" s="62"/>
    </row>
    <row r="54" spans="1:11" ht="14.1" customHeight="1">
      <c r="A54" s="52"/>
      <c r="B54" s="96" t="s">
        <v>299</v>
      </c>
      <c r="C54" s="53"/>
      <c r="D54" s="91"/>
      <c r="E54" s="56"/>
      <c r="F54" s="57"/>
      <c r="G54" s="58"/>
      <c r="H54" s="59"/>
      <c r="I54" s="60"/>
      <c r="J54" s="61"/>
      <c r="K54" s="62"/>
    </row>
    <row r="55" spans="1:11" ht="14.1" customHeight="1">
      <c r="A55" s="52"/>
      <c r="B55" s="96" t="s">
        <v>300</v>
      </c>
      <c r="C55" s="53"/>
      <c r="D55" s="91"/>
      <c r="E55" s="56"/>
      <c r="F55" s="57"/>
      <c r="G55" s="58"/>
      <c r="H55" s="59"/>
      <c r="I55" s="60"/>
      <c r="J55" s="61"/>
      <c r="K55" s="62"/>
    </row>
    <row r="56" spans="1:11" ht="14.1" customHeight="1">
      <c r="A56" s="52"/>
      <c r="B56" s="96" t="s">
        <v>301</v>
      </c>
      <c r="C56" s="53"/>
      <c r="D56" s="91"/>
      <c r="E56" s="56"/>
      <c r="F56" s="57"/>
      <c r="G56" s="58"/>
      <c r="H56" s="59"/>
      <c r="I56" s="60"/>
      <c r="J56" s="61"/>
      <c r="K56" s="62"/>
    </row>
    <row r="57" spans="1:11" ht="14.1" customHeight="1">
      <c r="A57" s="52"/>
      <c r="B57" s="96" t="s">
        <v>302</v>
      </c>
      <c r="C57" s="53"/>
      <c r="D57" s="91"/>
      <c r="E57" s="56"/>
      <c r="F57" s="57"/>
      <c r="G57" s="58"/>
      <c r="H57" s="59"/>
      <c r="I57" s="60"/>
      <c r="J57" s="61"/>
      <c r="K57" s="62"/>
    </row>
    <row r="58" spans="1:11" ht="14.1" customHeight="1">
      <c r="A58" s="52"/>
      <c r="B58" s="36" t="s">
        <v>303</v>
      </c>
      <c r="C58" s="53"/>
      <c r="D58" s="138">
        <v>1502</v>
      </c>
      <c r="E58" s="132" t="s">
        <v>82</v>
      </c>
      <c r="F58" s="106">
        <v>16233</v>
      </c>
      <c r="G58" s="140" t="s">
        <v>7</v>
      </c>
      <c r="H58" s="132">
        <v>60</v>
      </c>
      <c r="I58" s="60" t="s">
        <v>259</v>
      </c>
      <c r="J58" s="134">
        <v>24383</v>
      </c>
      <c r="K58" s="135" t="s">
        <v>9</v>
      </c>
    </row>
    <row r="59" spans="1:11" ht="14.1" customHeight="1">
      <c r="A59" s="52"/>
      <c r="B59" s="36"/>
      <c r="C59" s="53"/>
      <c r="D59" s="234" t="s">
        <v>745</v>
      </c>
      <c r="E59" s="234"/>
      <c r="F59" s="234"/>
      <c r="G59" s="234"/>
      <c r="H59" s="234"/>
      <c r="I59" s="234"/>
      <c r="J59" s="234"/>
      <c r="K59" s="234"/>
    </row>
    <row r="60" spans="1:11" ht="14.1" customHeight="1">
      <c r="A60" s="129">
        <v>9</v>
      </c>
      <c r="B60" s="96" t="s">
        <v>307</v>
      </c>
      <c r="C60" s="96"/>
      <c r="D60" s="142"/>
      <c r="E60" s="143"/>
      <c r="F60" s="144"/>
      <c r="G60" s="145"/>
      <c r="H60" s="146"/>
      <c r="I60" s="147"/>
      <c r="J60" s="148"/>
      <c r="K60" s="149"/>
    </row>
    <row r="61" spans="1:11" ht="14.1" customHeight="1">
      <c r="A61" s="129"/>
      <c r="B61" s="96" t="s">
        <v>308</v>
      </c>
      <c r="C61" s="96"/>
      <c r="D61" s="142"/>
      <c r="E61" s="143"/>
      <c r="F61" s="144"/>
      <c r="G61" s="145"/>
      <c r="H61" s="146"/>
      <c r="I61" s="147"/>
      <c r="J61" s="148"/>
      <c r="K61" s="149"/>
    </row>
    <row r="62" spans="1:11" ht="14.1" customHeight="1">
      <c r="A62" s="129"/>
      <c r="B62" s="96" t="s">
        <v>309</v>
      </c>
      <c r="C62" s="96"/>
      <c r="D62" s="142"/>
      <c r="E62" s="143"/>
      <c r="F62" s="144"/>
      <c r="G62" s="145"/>
      <c r="H62" s="146"/>
      <c r="I62" s="147"/>
      <c r="J62" s="148"/>
      <c r="K62" s="149"/>
    </row>
    <row r="63" spans="1:11" ht="14.1" customHeight="1">
      <c r="A63" s="129"/>
      <c r="B63" s="96" t="s">
        <v>310</v>
      </c>
      <c r="C63" s="96"/>
      <c r="D63" s="150">
        <f>Mes!J120</f>
        <v>240</v>
      </c>
      <c r="E63" s="143" t="s">
        <v>82</v>
      </c>
      <c r="F63" s="144">
        <v>2548</v>
      </c>
      <c r="G63" s="145" t="s">
        <v>7</v>
      </c>
      <c r="H63" s="143">
        <v>29</v>
      </c>
      <c r="I63" s="147" t="s">
        <v>68</v>
      </c>
      <c r="J63" s="148">
        <f>IF(MID(I63,1,2)=("P."),(ROUND(D63*((F63)+(H63/100)),)),IF(MID(I63,1,2)=("%o"),(ROUND(D63*(((F63)+(H63/100))/1000),)),IF(MID(I63,1,2)=("Ea"),(ROUND(D63*((F63)+(H63/100)),)),ROUND(D63*(((F63)+(H63/100))/100),))))</f>
        <v>6116</v>
      </c>
      <c r="K63" s="149" t="s">
        <v>9</v>
      </c>
    </row>
    <row r="64" spans="1:11" ht="14.1" customHeight="1">
      <c r="A64" s="52"/>
      <c r="B64" s="210"/>
      <c r="C64" s="54"/>
      <c r="D64" s="235" t="s">
        <v>746</v>
      </c>
      <c r="E64" s="235"/>
      <c r="F64" s="235"/>
      <c r="G64" s="235"/>
      <c r="H64" s="235"/>
      <c r="I64" s="235"/>
      <c r="J64" s="235"/>
      <c r="K64" s="235"/>
    </row>
    <row r="65" spans="1:11" ht="14.1" customHeight="1">
      <c r="A65" s="52">
        <v>10</v>
      </c>
      <c r="B65" s="96" t="s">
        <v>73</v>
      </c>
      <c r="C65" s="53"/>
      <c r="D65" s="76"/>
      <c r="E65" s="77"/>
      <c r="F65" s="57"/>
      <c r="G65" s="60"/>
      <c r="H65" s="77"/>
      <c r="I65" s="60"/>
      <c r="J65" s="57"/>
      <c r="K65" s="77"/>
    </row>
    <row r="66" spans="1:11" ht="14.1" customHeight="1">
      <c r="A66" s="52"/>
      <c r="B66" s="96" t="s">
        <v>74</v>
      </c>
      <c r="C66" s="53"/>
      <c r="D66" s="150">
        <f>Mes!J123</f>
        <v>516</v>
      </c>
      <c r="E66" s="143" t="s">
        <v>82</v>
      </c>
      <c r="F66" s="144">
        <v>3015</v>
      </c>
      <c r="G66" s="145" t="s">
        <v>7</v>
      </c>
      <c r="H66" s="143">
        <v>76</v>
      </c>
      <c r="I66" s="147" t="s">
        <v>68</v>
      </c>
      <c r="J66" s="148">
        <f>IF(MID(I66,1,2)=("P."),(ROUND(D66*((F66)+(H66/100)),)),IF(MID(I66,1,2)=("%o"),(ROUND(D66*(((F66)+(H66/100))/1000),)),IF(MID(I66,1,2)=("Ea"),(ROUND(D66*((F66)+(H66/100)),)),ROUND(D66*(((F66)+(H66/100))/100),))))</f>
        <v>15561</v>
      </c>
      <c r="K66" s="149" t="s">
        <v>9</v>
      </c>
    </row>
    <row r="67" spans="1:11" ht="14.1" customHeight="1">
      <c r="A67" s="52"/>
      <c r="B67" s="96"/>
      <c r="C67" s="53"/>
      <c r="D67" s="236" t="s">
        <v>747</v>
      </c>
      <c r="E67" s="236"/>
      <c r="F67" s="236"/>
      <c r="G67" s="236"/>
      <c r="H67" s="236"/>
      <c r="I67" s="236"/>
      <c r="J67" s="236"/>
      <c r="K67" s="236"/>
    </row>
    <row r="68" spans="1:11" ht="14.1" customHeight="1">
      <c r="A68" s="52">
        <v>11</v>
      </c>
      <c r="B68" s="96" t="s">
        <v>304</v>
      </c>
      <c r="C68" s="53"/>
      <c r="D68" s="91"/>
      <c r="E68" s="56"/>
      <c r="F68" s="57"/>
      <c r="G68" s="58"/>
      <c r="H68" s="59"/>
      <c r="I68" s="60"/>
      <c r="J68" s="61"/>
      <c r="K68" s="62"/>
    </row>
    <row r="69" spans="1:11" ht="14.1" customHeight="1">
      <c r="A69" s="52"/>
      <c r="B69" s="96" t="s">
        <v>305</v>
      </c>
      <c r="C69" s="53"/>
      <c r="D69" s="91"/>
      <c r="E69" s="56"/>
      <c r="F69" s="57"/>
      <c r="G69" s="58"/>
      <c r="H69" s="59"/>
      <c r="I69" s="60"/>
      <c r="J69" s="61"/>
      <c r="K69" s="62"/>
    </row>
    <row r="70" spans="1:11" ht="14.1" customHeight="1">
      <c r="A70" s="52"/>
      <c r="B70" s="36" t="s">
        <v>306</v>
      </c>
      <c r="C70" s="53"/>
      <c r="D70" s="138">
        <f>Mes!J127</f>
        <v>400.95000000000005</v>
      </c>
      <c r="E70" s="132" t="s">
        <v>82</v>
      </c>
      <c r="F70" s="106">
        <v>8694</v>
      </c>
      <c r="G70" s="140" t="s">
        <v>7</v>
      </c>
      <c r="H70" s="132">
        <v>95</v>
      </c>
      <c r="I70" s="60" t="s">
        <v>259</v>
      </c>
      <c r="J70" s="134">
        <f>IF(MID(I70,1,2)=("P."),(ROUND(D70*((F70)+(H70/100)),)),IF(MID(I70,1,2)=("%o"),(ROUND(D70*(((F70)+(H70/100))/1000),)),IF(MID(I70,1,2)=("Ea"),(ROUND(D70*((F70)+(H70/100)),)),ROUND(D70*(((F70)+(H70/100))/100),))))</f>
        <v>34862</v>
      </c>
      <c r="K70" s="135" t="s">
        <v>9</v>
      </c>
    </row>
    <row r="71" spans="1:11" ht="14.1" customHeight="1">
      <c r="A71" s="52"/>
      <c r="B71" s="141"/>
      <c r="C71" s="53"/>
      <c r="D71" s="237" t="s">
        <v>748</v>
      </c>
      <c r="E71" s="237"/>
      <c r="F71" s="237"/>
      <c r="G71" s="237"/>
      <c r="H71" s="237"/>
      <c r="I71" s="237"/>
      <c r="J71" s="237"/>
      <c r="K71" s="237"/>
    </row>
    <row r="72" spans="1:11" ht="14.1" customHeight="1">
      <c r="A72" s="50"/>
      <c r="B72" s="53"/>
      <c r="C72" s="53"/>
      <c r="D72" s="55"/>
      <c r="E72" s="78"/>
      <c r="F72" s="78"/>
      <c r="G72" s="78"/>
      <c r="H72" s="72"/>
      <c r="I72" s="79" t="s">
        <v>50</v>
      </c>
      <c r="J72" s="80">
        <f>SUM(J12:J70)</f>
        <v>1781740</v>
      </c>
      <c r="K72" s="81" t="s">
        <v>9</v>
      </c>
    </row>
    <row r="73" spans="1:11" ht="14.1" customHeight="1">
      <c r="A73" s="50"/>
      <c r="B73" s="67"/>
      <c r="C73" s="78"/>
      <c r="D73" s="78"/>
      <c r="E73" s="65" t="s">
        <v>710</v>
      </c>
      <c r="F73" s="57"/>
      <c r="G73" s="58"/>
      <c r="H73" s="59"/>
      <c r="I73" s="57"/>
      <c r="J73" s="61"/>
      <c r="K73" s="62" t="s">
        <v>9</v>
      </c>
    </row>
    <row r="74" spans="1:11" ht="14.1" customHeight="1">
      <c r="A74" s="50"/>
      <c r="B74" s="67"/>
      <c r="C74" s="78"/>
      <c r="D74" s="78"/>
      <c r="E74" s="65"/>
      <c r="F74" s="57"/>
      <c r="G74" s="58"/>
      <c r="H74" s="59"/>
      <c r="I74" s="82" t="s">
        <v>19</v>
      </c>
      <c r="J74" s="162"/>
      <c r="K74" s="66" t="s">
        <v>9</v>
      </c>
    </row>
    <row r="75" spans="1:11" ht="14.1" customHeight="1">
      <c r="A75" s="50"/>
      <c r="B75" s="29" t="s">
        <v>737</v>
      </c>
      <c r="C75" s="50"/>
      <c r="D75" s="50"/>
      <c r="E75" s="50"/>
      <c r="F75" s="50"/>
      <c r="G75" s="50"/>
      <c r="H75" s="51"/>
      <c r="I75" s="50"/>
      <c r="J75" s="50"/>
      <c r="K75" s="50"/>
    </row>
    <row r="76" spans="1:11" ht="14.1" customHeight="1">
      <c r="A76" s="114">
        <v>1</v>
      </c>
      <c r="B76" s="96" t="s">
        <v>287</v>
      </c>
      <c r="C76" s="83"/>
      <c r="D76" s="97"/>
      <c r="E76" s="128"/>
      <c r="F76" s="128"/>
      <c r="G76" s="106"/>
      <c r="H76" s="83"/>
      <c r="I76" s="83"/>
      <c r="J76" s="134"/>
      <c r="K76" s="83"/>
    </row>
    <row r="77" spans="1:11" ht="14.1" customHeight="1">
      <c r="A77" s="114"/>
      <c r="B77" s="96" t="s">
        <v>288</v>
      </c>
      <c r="C77" s="83"/>
      <c r="D77" s="97"/>
      <c r="E77" s="128"/>
      <c r="F77" s="128"/>
      <c r="G77" s="106"/>
      <c r="H77" s="83"/>
      <c r="I77" s="83"/>
      <c r="J77" s="83"/>
      <c r="K77" s="83"/>
    </row>
    <row r="78" spans="1:11" ht="14.1" customHeight="1">
      <c r="A78" s="114"/>
      <c r="B78" s="96" t="s">
        <v>289</v>
      </c>
      <c r="C78" s="83"/>
      <c r="D78" s="97"/>
      <c r="E78" s="128"/>
      <c r="F78" s="128"/>
      <c r="G78" s="106"/>
      <c r="H78" s="83"/>
      <c r="I78" s="83"/>
      <c r="J78" s="83"/>
      <c r="K78" s="83"/>
    </row>
    <row r="79" spans="1:11" ht="14.1" customHeight="1">
      <c r="A79" s="114"/>
      <c r="B79" s="96" t="s">
        <v>290</v>
      </c>
      <c r="C79" s="83"/>
      <c r="D79" s="97"/>
      <c r="E79" s="128"/>
      <c r="F79" s="128"/>
      <c r="G79" s="106"/>
      <c r="H79" s="83"/>
      <c r="I79" s="83"/>
      <c r="J79" s="83"/>
      <c r="K79" s="83"/>
    </row>
    <row r="80" spans="1:11" ht="14.1" customHeight="1">
      <c r="A80" s="114"/>
      <c r="B80" s="96" t="s">
        <v>291</v>
      </c>
      <c r="C80" s="83"/>
      <c r="D80" s="97"/>
      <c r="E80" s="128"/>
      <c r="F80" s="128"/>
      <c r="G80" s="106"/>
      <c r="H80" s="83"/>
      <c r="I80" s="83"/>
      <c r="J80" s="83"/>
      <c r="K80" s="83"/>
    </row>
    <row r="81" spans="1:11" ht="14.1" customHeight="1">
      <c r="A81" s="114"/>
      <c r="B81" s="96" t="s">
        <v>292</v>
      </c>
      <c r="C81" s="83"/>
      <c r="D81" s="138">
        <f>Mes!J131</f>
        <v>109.54267857142858</v>
      </c>
      <c r="E81" s="132" t="s">
        <v>253</v>
      </c>
      <c r="F81" s="106">
        <v>5001</v>
      </c>
      <c r="G81" s="140" t="s">
        <v>7</v>
      </c>
      <c r="H81" s="132">
        <v>70</v>
      </c>
      <c r="I81" s="128" t="s">
        <v>293</v>
      </c>
      <c r="J81" s="134">
        <v>547886</v>
      </c>
      <c r="K81" s="135" t="s">
        <v>9</v>
      </c>
    </row>
    <row r="82" spans="1:11" ht="14.1" customHeight="1">
      <c r="A82" s="50"/>
      <c r="B82" s="203"/>
      <c r="C82" s="50"/>
      <c r="D82" s="232" t="s">
        <v>743</v>
      </c>
      <c r="E82" s="232"/>
      <c r="F82" s="232"/>
      <c r="G82" s="232"/>
      <c r="H82" s="232"/>
      <c r="I82" s="232"/>
      <c r="J82" s="232"/>
      <c r="K82" s="232"/>
    </row>
    <row r="83" spans="1:11" ht="14.1" customHeight="1">
      <c r="A83" s="114">
        <v>2</v>
      </c>
      <c r="B83" s="204" t="s">
        <v>273</v>
      </c>
      <c r="C83" s="101"/>
      <c r="D83" s="97"/>
      <c r="E83" s="136"/>
      <c r="F83" s="106"/>
      <c r="G83" s="83"/>
      <c r="H83" s="132"/>
      <c r="I83" s="128"/>
      <c r="J83" s="137"/>
      <c r="K83" s="132"/>
    </row>
    <row r="84" spans="1:11" ht="14.1" customHeight="1">
      <c r="A84" s="114"/>
      <c r="B84" s="204" t="s">
        <v>274</v>
      </c>
      <c r="C84" s="101"/>
      <c r="D84" s="97"/>
      <c r="E84" s="136"/>
      <c r="F84" s="106"/>
      <c r="G84" s="83"/>
      <c r="H84" s="132"/>
      <c r="I84" s="128"/>
      <c r="J84" s="137"/>
      <c r="K84" s="132"/>
    </row>
    <row r="85" spans="1:11" ht="14.1" customHeight="1">
      <c r="A85" s="114"/>
      <c r="B85" s="204" t="s">
        <v>275</v>
      </c>
      <c r="C85" s="101"/>
      <c r="D85" s="97"/>
      <c r="E85" s="136"/>
      <c r="F85" s="106"/>
      <c r="G85" s="83"/>
      <c r="H85" s="132"/>
      <c r="I85" s="128"/>
      <c r="J85" s="137"/>
      <c r="K85" s="132"/>
    </row>
    <row r="86" spans="1:11" ht="14.1" customHeight="1">
      <c r="A86" s="114"/>
      <c r="B86" s="204" t="s">
        <v>276</v>
      </c>
      <c r="C86" s="101"/>
      <c r="D86" s="97"/>
      <c r="E86" s="136"/>
      <c r="F86" s="106"/>
      <c r="G86" s="83"/>
      <c r="H86" s="132"/>
      <c r="I86" s="128"/>
      <c r="J86" s="137"/>
      <c r="K86" s="132"/>
    </row>
    <row r="87" spans="1:11" ht="14.1" customHeight="1">
      <c r="A87" s="114"/>
      <c r="B87" s="204" t="s">
        <v>277</v>
      </c>
      <c r="C87" s="101"/>
      <c r="D87" s="97"/>
      <c r="E87" s="136"/>
      <c r="F87" s="106"/>
      <c r="G87" s="83"/>
      <c r="H87" s="132"/>
      <c r="I87" s="128"/>
      <c r="J87" s="137"/>
      <c r="K87" s="132"/>
    </row>
    <row r="88" spans="1:11" ht="14.1" customHeight="1">
      <c r="A88" s="114"/>
      <c r="B88" s="204" t="s">
        <v>278</v>
      </c>
      <c r="C88" s="101"/>
      <c r="D88" s="97"/>
      <c r="E88" s="136"/>
      <c r="F88" s="106"/>
      <c r="G88" s="83"/>
      <c r="H88" s="132"/>
      <c r="I88" s="128"/>
      <c r="J88" s="137"/>
      <c r="K88" s="132"/>
    </row>
    <row r="89" spans="1:11" ht="14.1" customHeight="1">
      <c r="A89" s="114"/>
      <c r="B89" s="204" t="s">
        <v>279</v>
      </c>
      <c r="C89" s="101"/>
      <c r="D89" s="97"/>
      <c r="E89" s="136"/>
      <c r="F89" s="106"/>
      <c r="G89" s="83"/>
      <c r="H89" s="132"/>
      <c r="I89" s="128"/>
      <c r="J89" s="137"/>
      <c r="K89" s="132"/>
    </row>
    <row r="90" spans="1:11" ht="14.1" customHeight="1">
      <c r="A90" s="114"/>
      <c r="B90" s="204" t="s">
        <v>280</v>
      </c>
      <c r="C90" s="101"/>
      <c r="D90" s="97"/>
      <c r="E90" s="136"/>
      <c r="F90" s="106"/>
      <c r="G90" s="83"/>
      <c r="H90" s="132"/>
      <c r="I90" s="128"/>
      <c r="J90" s="137"/>
      <c r="K90" s="132"/>
    </row>
    <row r="91" spans="1:11" ht="14.1" customHeight="1">
      <c r="A91" s="114"/>
      <c r="B91" s="204" t="s">
        <v>281</v>
      </c>
      <c r="C91" s="101"/>
      <c r="D91" s="97"/>
      <c r="E91" s="136"/>
      <c r="F91" s="106"/>
      <c r="G91" s="83"/>
      <c r="H91" s="132"/>
      <c r="I91" s="128"/>
      <c r="J91" s="137"/>
      <c r="K91" s="132"/>
    </row>
    <row r="92" spans="1:11" ht="14.1" customHeight="1">
      <c r="A92" s="114"/>
      <c r="B92" s="204" t="s">
        <v>282</v>
      </c>
      <c r="C92" s="101"/>
      <c r="D92" s="97"/>
      <c r="E92" s="136"/>
      <c r="F92" s="106"/>
      <c r="G92" s="83"/>
      <c r="H92" s="132"/>
      <c r="I92" s="128"/>
      <c r="J92" s="137"/>
      <c r="K92" s="132"/>
    </row>
    <row r="93" spans="1:11" ht="14.1" customHeight="1">
      <c r="A93" s="114"/>
      <c r="B93" s="204" t="s">
        <v>283</v>
      </c>
      <c r="C93" s="101"/>
      <c r="D93" s="97"/>
      <c r="E93" s="136"/>
      <c r="F93" s="106"/>
      <c r="G93" s="83"/>
      <c r="H93" s="132"/>
      <c r="I93" s="128"/>
      <c r="J93" s="137"/>
      <c r="K93" s="132"/>
    </row>
    <row r="94" spans="1:11" ht="14.1" customHeight="1">
      <c r="A94" s="114"/>
      <c r="B94" s="204" t="s">
        <v>284</v>
      </c>
      <c r="C94" s="101"/>
      <c r="D94" s="97"/>
      <c r="E94" s="136"/>
      <c r="F94" s="106"/>
      <c r="G94" s="83"/>
      <c r="H94" s="132"/>
      <c r="I94" s="128"/>
      <c r="J94" s="137"/>
      <c r="K94" s="132"/>
    </row>
    <row r="95" spans="1:11" ht="14.1" customHeight="1">
      <c r="A95" s="114"/>
      <c r="B95" s="204" t="s">
        <v>285</v>
      </c>
      <c r="C95" s="101"/>
      <c r="D95" s="138">
        <f>Mes!J154</f>
        <v>1580.8323</v>
      </c>
      <c r="E95" s="136" t="s">
        <v>82</v>
      </c>
      <c r="F95" s="106">
        <v>337</v>
      </c>
      <c r="G95" s="133" t="s">
        <v>7</v>
      </c>
      <c r="H95" s="139">
        <v>0</v>
      </c>
      <c r="I95" s="128" t="s">
        <v>286</v>
      </c>
      <c r="J95" s="134">
        <f>IF(MID(I95,1,2)=("P."),(ROUND(D95*((F95)+(H95/100)),)),IF(MID(I95,1,2)=("%o"),(ROUND(D95*(((F95)+(H95/100))/1000),)),IF(MID(I95,1,2)=("Ea"),(ROUND(D95*((F95)+(H95/100)),)),ROUND(D95*(((F95)+(H95/100))/100),))))</f>
        <v>532740</v>
      </c>
      <c r="K95" s="135" t="s">
        <v>9</v>
      </c>
    </row>
    <row r="96" spans="1:11" ht="14.1" customHeight="1">
      <c r="A96" s="50"/>
      <c r="B96" s="205"/>
      <c r="C96" s="50"/>
      <c r="D96" s="232" t="s">
        <v>742</v>
      </c>
      <c r="E96" s="232"/>
      <c r="F96" s="232"/>
      <c r="G96" s="232"/>
      <c r="H96" s="232"/>
      <c r="I96" s="232"/>
      <c r="J96" s="232"/>
      <c r="K96" s="232"/>
    </row>
    <row r="97" spans="1:11" ht="14.1" customHeight="1">
      <c r="A97" s="52">
        <v>3</v>
      </c>
      <c r="B97" s="202" t="s">
        <v>311</v>
      </c>
      <c r="C97" s="53"/>
      <c r="D97" s="55"/>
      <c r="E97" s="65"/>
      <c r="F97" s="57"/>
      <c r="G97" s="58"/>
      <c r="H97" s="59"/>
      <c r="I97" s="60"/>
      <c r="J97" s="61"/>
      <c r="K97" s="66"/>
    </row>
    <row r="98" spans="1:11" ht="14.1" customHeight="1">
      <c r="A98" s="52"/>
      <c r="B98" s="202" t="s">
        <v>312</v>
      </c>
      <c r="C98" s="53"/>
      <c r="D98" s="55"/>
      <c r="E98" s="65"/>
      <c r="F98" s="57"/>
      <c r="G98" s="58"/>
      <c r="H98" s="59"/>
      <c r="I98" s="60"/>
      <c r="J98" s="61"/>
      <c r="K98" s="66"/>
    </row>
    <row r="99" spans="1:11" ht="14.1" customHeight="1">
      <c r="A99" s="52"/>
      <c r="B99" s="202" t="s">
        <v>313</v>
      </c>
      <c r="C99" s="53"/>
      <c r="D99" s="55"/>
      <c r="E99" s="65"/>
      <c r="F99" s="57"/>
      <c r="G99" s="58"/>
      <c r="H99" s="59"/>
      <c r="I99" s="60"/>
      <c r="J99" s="61"/>
      <c r="K99" s="66"/>
    </row>
    <row r="100" spans="1:11" ht="14.1" customHeight="1">
      <c r="A100" s="52"/>
      <c r="B100" s="202" t="s">
        <v>314</v>
      </c>
      <c r="C100" s="53"/>
      <c r="D100" s="55"/>
      <c r="E100" s="65"/>
      <c r="F100" s="57"/>
      <c r="G100" s="58"/>
      <c r="H100" s="59"/>
      <c r="I100" s="60"/>
      <c r="J100" s="61"/>
      <c r="K100" s="66"/>
    </row>
    <row r="101" spans="1:11" ht="14.1" customHeight="1">
      <c r="A101" s="52"/>
      <c r="B101" s="202" t="s">
        <v>315</v>
      </c>
      <c r="C101" s="53"/>
      <c r="D101" s="55">
        <f>Mes!J191</f>
        <v>920.57500000000039</v>
      </c>
      <c r="E101" s="56" t="s">
        <v>82</v>
      </c>
      <c r="F101" s="57">
        <v>15771</v>
      </c>
      <c r="G101" s="58" t="s">
        <v>7</v>
      </c>
      <c r="H101" s="59">
        <v>1</v>
      </c>
      <c r="I101" s="60" t="s">
        <v>272</v>
      </c>
      <c r="J101" s="61">
        <f>IF(MID(I101,1,2)=("P."),(ROUND(D101*((F101)+(H101/100)),)),IF(MID(I101,1,2)=("%o"),(ROUND(D101*(((F101)+(H101/100))/1000),)),IF(MID(I101,1,2)=("Ea"),(ROUND(D101*((F101)+(H101/100)),)),ROUND(D101*(((F101)+(H101/100))/100),))))</f>
        <v>145184</v>
      </c>
      <c r="K101" s="62" t="s">
        <v>9</v>
      </c>
    </row>
    <row r="102" spans="1:11" ht="14.1" customHeight="1">
      <c r="A102" s="38"/>
      <c r="B102" s="205"/>
      <c r="C102" s="50"/>
      <c r="D102" s="238" t="s">
        <v>749</v>
      </c>
      <c r="E102" s="238"/>
      <c r="F102" s="238"/>
      <c r="G102" s="238"/>
      <c r="H102" s="238"/>
      <c r="I102" s="238"/>
      <c r="J102" s="238"/>
      <c r="K102" s="238"/>
    </row>
    <row r="103" spans="1:11" ht="14.1" customHeight="1">
      <c r="A103" s="52">
        <v>4</v>
      </c>
      <c r="B103" s="96" t="s">
        <v>73</v>
      </c>
      <c r="C103" s="53"/>
      <c r="D103" s="76"/>
      <c r="E103" s="77"/>
      <c r="F103" s="57"/>
      <c r="G103" s="60"/>
      <c r="H103" s="77"/>
      <c r="I103" s="60"/>
      <c r="J103" s="57"/>
      <c r="K103" s="77"/>
    </row>
    <row r="104" spans="1:11" ht="14.1" customHeight="1">
      <c r="A104" s="52"/>
      <c r="B104" s="96" t="s">
        <v>74</v>
      </c>
      <c r="C104" s="53"/>
      <c r="D104" s="150">
        <f>Mes!J257</f>
        <v>5040.91</v>
      </c>
      <c r="E104" s="143" t="s">
        <v>82</v>
      </c>
      <c r="F104" s="144">
        <v>3015</v>
      </c>
      <c r="G104" s="145" t="s">
        <v>7</v>
      </c>
      <c r="H104" s="143">
        <v>76</v>
      </c>
      <c r="I104" s="147" t="s">
        <v>68</v>
      </c>
      <c r="J104" s="148">
        <f>IF(MID(I104,1,2)=("P."),(ROUND(D104*((F104)+(H104/100)),)),IF(MID(I104,1,2)=("%o"),(ROUND(D104*(((F104)+(H104/100))/1000),)),IF(MID(I104,1,2)=("Ea"),(ROUND(D104*((F104)+(H104/100)),)),ROUND(D104*(((F104)+(H104/100))/100),))))</f>
        <v>152022</v>
      </c>
      <c r="K104" s="149" t="s">
        <v>9</v>
      </c>
    </row>
    <row r="105" spans="1:11" ht="14.1" customHeight="1">
      <c r="A105" s="52"/>
      <c r="B105" s="96"/>
      <c r="C105" s="53"/>
      <c r="D105" s="236" t="s">
        <v>750</v>
      </c>
      <c r="E105" s="236"/>
      <c r="F105" s="236"/>
      <c r="G105" s="236"/>
      <c r="H105" s="236"/>
      <c r="I105" s="236"/>
      <c r="J105" s="236"/>
      <c r="K105" s="236"/>
    </row>
    <row r="106" spans="1:11" ht="15" customHeight="1">
      <c r="A106" s="52">
        <v>5</v>
      </c>
      <c r="B106" s="202" t="s">
        <v>316</v>
      </c>
      <c r="C106" s="53"/>
      <c r="D106" s="55"/>
      <c r="E106" s="56"/>
      <c r="F106" s="57"/>
      <c r="G106" s="58"/>
      <c r="H106" s="59"/>
      <c r="I106" s="60"/>
      <c r="J106" s="61"/>
      <c r="K106" s="62"/>
    </row>
    <row r="107" spans="1:11" ht="15" customHeight="1">
      <c r="A107" s="52"/>
      <c r="B107" s="202" t="s">
        <v>317</v>
      </c>
      <c r="C107" s="53"/>
      <c r="D107" s="55"/>
      <c r="E107" s="56"/>
      <c r="F107" s="57"/>
      <c r="G107" s="58"/>
      <c r="H107" s="59"/>
      <c r="I107" s="60"/>
      <c r="J107" s="61"/>
      <c r="K107" s="62"/>
    </row>
    <row r="108" spans="1:11" ht="14.1" customHeight="1">
      <c r="A108" s="52"/>
      <c r="B108" s="202" t="s">
        <v>318</v>
      </c>
      <c r="C108" s="53"/>
      <c r="D108" s="55"/>
      <c r="E108" s="56"/>
      <c r="F108" s="57"/>
      <c r="G108" s="58"/>
      <c r="H108" s="59"/>
      <c r="I108" s="60"/>
      <c r="J108" s="61"/>
      <c r="K108" s="62"/>
    </row>
    <row r="109" spans="1:11" ht="14.1" customHeight="1">
      <c r="A109" s="52"/>
      <c r="B109" s="202" t="s">
        <v>319</v>
      </c>
      <c r="C109" s="53"/>
      <c r="D109" s="55"/>
      <c r="E109" s="56"/>
      <c r="F109" s="57"/>
      <c r="G109" s="58"/>
      <c r="H109" s="59"/>
      <c r="I109" s="60"/>
      <c r="J109" s="61"/>
      <c r="K109" s="62"/>
    </row>
    <row r="110" spans="1:11" ht="14.1" customHeight="1">
      <c r="A110" s="52"/>
      <c r="B110" s="202" t="s">
        <v>320</v>
      </c>
      <c r="C110" s="53"/>
      <c r="D110" s="55"/>
      <c r="E110" s="56"/>
      <c r="F110" s="57"/>
      <c r="G110" s="58"/>
      <c r="H110" s="59"/>
      <c r="I110" s="60"/>
      <c r="J110" s="61"/>
      <c r="K110" s="62"/>
    </row>
    <row r="111" spans="1:11" ht="14.1" customHeight="1">
      <c r="A111" s="52"/>
      <c r="B111" s="202" t="s">
        <v>321</v>
      </c>
      <c r="C111" s="53"/>
      <c r="D111" s="55"/>
      <c r="E111" s="56"/>
      <c r="F111" s="57"/>
      <c r="G111" s="58"/>
      <c r="H111" s="59"/>
      <c r="I111" s="60"/>
      <c r="J111" s="61"/>
      <c r="K111" s="62"/>
    </row>
    <row r="112" spans="1:11" ht="14.1" customHeight="1">
      <c r="A112" s="52"/>
      <c r="B112" s="202" t="s">
        <v>322</v>
      </c>
      <c r="C112" s="53"/>
      <c r="D112" s="55"/>
      <c r="E112" s="56"/>
      <c r="F112" s="57"/>
      <c r="G112" s="58"/>
      <c r="H112" s="59"/>
      <c r="I112" s="60"/>
      <c r="J112" s="61"/>
      <c r="K112" s="62"/>
    </row>
    <row r="113" spans="1:11" ht="14.1" customHeight="1">
      <c r="A113" s="52"/>
      <c r="B113" s="202" t="s">
        <v>323</v>
      </c>
      <c r="C113" s="53"/>
      <c r="D113" s="55">
        <f>Mes!J264</f>
        <v>171</v>
      </c>
      <c r="E113" s="56" t="s">
        <v>174</v>
      </c>
      <c r="F113" s="57">
        <v>228</v>
      </c>
      <c r="G113" s="58" t="s">
        <v>7</v>
      </c>
      <c r="H113" s="59">
        <v>90</v>
      </c>
      <c r="I113" s="60" t="s">
        <v>324</v>
      </c>
      <c r="J113" s="61">
        <f>IF(MID(I113,1,2)=("P."),(ROUND(D113*((F113)+(H113/100)),)),IF(MID(I113,1,2)=("%o"),(ROUND(D113*(((F113)+(H113/100))/1000),)),IF(MID(I113,1,2)=("Ea"),(ROUND(D113*((F113)+(H113/100)),)),ROUND(D113*(((F113)+(H113/100))/100),))))</f>
        <v>39142</v>
      </c>
      <c r="K113" s="62" t="s">
        <v>9</v>
      </c>
    </row>
    <row r="114" spans="1:11" ht="14.1" customHeight="1">
      <c r="A114" s="52"/>
      <c r="B114" s="96"/>
      <c r="C114" s="53"/>
      <c r="D114" s="236" t="s">
        <v>751</v>
      </c>
      <c r="E114" s="236"/>
      <c r="F114" s="236"/>
      <c r="G114" s="236"/>
      <c r="H114" s="236"/>
      <c r="I114" s="236"/>
      <c r="J114" s="236"/>
      <c r="K114" s="236"/>
    </row>
    <row r="115" spans="1:11" ht="14.1" customHeight="1">
      <c r="A115" s="52">
        <v>6</v>
      </c>
      <c r="B115" s="206" t="s">
        <v>325</v>
      </c>
      <c r="C115" s="153"/>
      <c r="D115" s="55"/>
      <c r="E115" s="56"/>
      <c r="F115" s="57"/>
      <c r="G115" s="58"/>
      <c r="H115" s="59"/>
      <c r="I115" s="60"/>
      <c r="J115" s="61"/>
      <c r="K115" s="62"/>
    </row>
    <row r="116" spans="1:11" ht="14.1" customHeight="1">
      <c r="A116" s="52"/>
      <c r="B116" s="206" t="s">
        <v>326</v>
      </c>
      <c r="C116" s="153"/>
      <c r="D116" s="55"/>
      <c r="E116" s="56"/>
      <c r="F116" s="57"/>
      <c r="G116" s="58"/>
      <c r="H116" s="59"/>
      <c r="I116" s="60"/>
      <c r="J116" s="61"/>
      <c r="K116" s="62"/>
    </row>
    <row r="117" spans="1:11" ht="14.1" customHeight="1">
      <c r="A117" s="52"/>
      <c r="B117" s="206" t="s">
        <v>327</v>
      </c>
      <c r="C117" s="153"/>
      <c r="D117" s="55"/>
      <c r="E117" s="56"/>
      <c r="F117" s="57"/>
      <c r="G117" s="58"/>
      <c r="H117" s="59"/>
      <c r="I117" s="60"/>
      <c r="J117" s="61"/>
      <c r="K117" s="62"/>
    </row>
    <row r="118" spans="1:11" ht="14.1" customHeight="1">
      <c r="A118" s="52"/>
      <c r="B118" s="206" t="s">
        <v>328</v>
      </c>
      <c r="C118" s="153"/>
      <c r="D118" s="55"/>
      <c r="E118" s="56"/>
      <c r="F118" s="57"/>
      <c r="G118" s="58"/>
      <c r="H118" s="59"/>
      <c r="I118" s="60"/>
      <c r="J118" s="61"/>
      <c r="K118" s="62"/>
    </row>
    <row r="119" spans="1:11" ht="14.1" customHeight="1">
      <c r="A119" s="52"/>
      <c r="B119" s="206" t="s">
        <v>329</v>
      </c>
      <c r="C119" s="153"/>
      <c r="D119" s="55"/>
      <c r="E119" s="56"/>
      <c r="F119" s="57"/>
      <c r="G119" s="58"/>
      <c r="H119" s="59"/>
      <c r="I119" s="60"/>
      <c r="J119" s="61"/>
      <c r="K119" s="62"/>
    </row>
    <row r="120" spans="1:11" ht="14.1" customHeight="1">
      <c r="A120" s="52"/>
      <c r="B120" s="206" t="s">
        <v>330</v>
      </c>
      <c r="C120" s="153"/>
      <c r="D120" s="53"/>
      <c r="E120" s="53"/>
      <c r="F120" s="53"/>
      <c r="G120" s="53"/>
      <c r="H120" s="53"/>
      <c r="I120" s="53"/>
      <c r="J120" s="53"/>
      <c r="K120" s="53"/>
    </row>
    <row r="121" spans="1:11" ht="14.1" customHeight="1">
      <c r="A121" s="52"/>
      <c r="B121" s="206" t="s">
        <v>331</v>
      </c>
      <c r="C121" s="153"/>
      <c r="D121" s="55"/>
      <c r="E121" s="56"/>
      <c r="F121" s="57"/>
      <c r="G121" s="58"/>
      <c r="H121" s="59"/>
      <c r="I121" s="60"/>
      <c r="J121" s="61"/>
      <c r="K121" s="62"/>
    </row>
    <row r="122" spans="1:11" ht="14.1" customHeight="1">
      <c r="A122" s="52"/>
      <c r="B122" s="206" t="s">
        <v>332</v>
      </c>
      <c r="C122" s="153"/>
      <c r="D122" s="154"/>
      <c r="E122" s="155"/>
      <c r="F122" s="151"/>
      <c r="G122" s="152"/>
      <c r="H122" s="155"/>
      <c r="I122" s="152"/>
      <c r="J122" s="151"/>
      <c r="K122" s="155"/>
    </row>
    <row r="123" spans="1:11" ht="14.1" customHeight="1">
      <c r="A123" s="52"/>
      <c r="B123" s="207" t="s">
        <v>333</v>
      </c>
      <c r="C123" s="153"/>
      <c r="D123" s="55">
        <f>Mes!J271</f>
        <v>217</v>
      </c>
      <c r="E123" s="56" t="s">
        <v>8</v>
      </c>
      <c r="F123" s="57">
        <v>706</v>
      </c>
      <c r="G123" s="58" t="s">
        <v>7</v>
      </c>
      <c r="H123" s="59">
        <v>23</v>
      </c>
      <c r="I123" s="60" t="s">
        <v>4</v>
      </c>
      <c r="J123" s="61">
        <f>IF(MID(I123,1,2)=("P."),(ROUND(D123*((F123)+(H123/100)),)),IF(MID(I123,1,2)=("%o"),(ROUND(D123*(((F123)+(H123/100))/1000),)),IF(MID(I123,1,2)=("Ea"),(ROUND(D123*((F123)+(H123/100)),)),ROUND(D123*(((F123)+(H123/100))/100),))))</f>
        <v>153252</v>
      </c>
      <c r="K123" s="62" t="s">
        <v>9</v>
      </c>
    </row>
    <row r="124" spans="1:11" ht="14.1" customHeight="1">
      <c r="A124" s="52"/>
      <c r="B124" s="96"/>
      <c r="C124" s="53"/>
      <c r="D124" s="236" t="s">
        <v>752</v>
      </c>
      <c r="E124" s="236"/>
      <c r="F124" s="236"/>
      <c r="G124" s="236"/>
      <c r="H124" s="236"/>
      <c r="I124" s="236"/>
      <c r="J124" s="236"/>
      <c r="K124" s="236"/>
    </row>
    <row r="125" spans="1:11" ht="14.1" customHeight="1">
      <c r="A125" s="52">
        <v>7</v>
      </c>
      <c r="B125" s="202" t="s">
        <v>334</v>
      </c>
      <c r="C125" s="53"/>
      <c r="D125" s="76"/>
      <c r="E125" s="77"/>
      <c r="F125" s="57"/>
      <c r="G125" s="60"/>
      <c r="H125" s="77"/>
      <c r="I125" s="60"/>
      <c r="J125" s="57"/>
      <c r="K125" s="77"/>
    </row>
    <row r="126" spans="1:11" ht="14.1" customHeight="1">
      <c r="A126" s="52"/>
      <c r="B126" s="202" t="s">
        <v>335</v>
      </c>
      <c r="C126" s="54"/>
      <c r="D126" s="55"/>
      <c r="E126" s="56"/>
      <c r="F126" s="57"/>
      <c r="G126" s="58"/>
      <c r="H126" s="59"/>
      <c r="I126" s="60"/>
      <c r="J126" s="61"/>
      <c r="K126" s="62"/>
    </row>
    <row r="127" spans="1:11" ht="14.1" customHeight="1">
      <c r="A127" s="52"/>
      <c r="B127" s="202" t="s">
        <v>336</v>
      </c>
      <c r="C127" s="53"/>
      <c r="D127" s="76"/>
      <c r="E127" s="77"/>
      <c r="F127" s="57"/>
      <c r="G127" s="60"/>
      <c r="H127" s="77"/>
      <c r="I127" s="60"/>
      <c r="J127" s="57"/>
      <c r="K127" s="77"/>
    </row>
    <row r="128" spans="1:11" ht="14.1" customHeight="1">
      <c r="A128" s="52"/>
      <c r="B128" s="202" t="s">
        <v>337</v>
      </c>
      <c r="C128" s="54"/>
      <c r="D128" s="55">
        <f>Mes!J278</f>
        <v>342</v>
      </c>
      <c r="E128" s="56" t="s">
        <v>8</v>
      </c>
      <c r="F128" s="57">
        <v>49</v>
      </c>
      <c r="G128" s="58" t="s">
        <v>7</v>
      </c>
      <c r="H128" s="59">
        <v>97</v>
      </c>
      <c r="I128" s="60" t="s">
        <v>4</v>
      </c>
      <c r="J128" s="61">
        <f>IF(MID(I128,1,2)=("P."),(ROUND(D128*((F128)+(H128/100)),)),IF(MID(I128,1,2)=("%o"),(ROUND(D128*(((F128)+(H128/100))/1000),)),IF(MID(I128,1,2)=("Ea"),(ROUND(D128*((F128)+(H128/100)),)),ROUND(D128*(((F128)+(H128/100))/100),))))</f>
        <v>17090</v>
      </c>
      <c r="K128" s="62" t="s">
        <v>9</v>
      </c>
    </row>
    <row r="129" spans="1:11" ht="14.1" customHeight="1">
      <c r="A129" s="52"/>
      <c r="B129" s="96"/>
      <c r="C129" s="53"/>
      <c r="D129" s="236" t="s">
        <v>753</v>
      </c>
      <c r="E129" s="236"/>
      <c r="F129" s="236"/>
      <c r="G129" s="236"/>
      <c r="H129" s="236"/>
      <c r="I129" s="236"/>
      <c r="J129" s="236"/>
      <c r="K129" s="236"/>
    </row>
    <row r="130" spans="1:11" ht="14.1" customHeight="1">
      <c r="A130" s="52">
        <v>8</v>
      </c>
      <c r="B130" s="202" t="s">
        <v>338</v>
      </c>
      <c r="C130" s="53"/>
      <c r="D130" s="53"/>
      <c r="E130" s="53"/>
      <c r="F130" s="53"/>
      <c r="G130" s="53"/>
      <c r="H130" s="53"/>
      <c r="I130" s="53"/>
      <c r="J130" s="53"/>
      <c r="K130" s="53"/>
    </row>
    <row r="131" spans="1:11" ht="14.1" customHeight="1">
      <c r="A131" s="52"/>
      <c r="B131" s="202" t="s">
        <v>339</v>
      </c>
      <c r="C131" s="53"/>
      <c r="D131" s="157">
        <f>Mes!J284</f>
        <v>7</v>
      </c>
      <c r="E131" s="156" t="s">
        <v>180</v>
      </c>
      <c r="F131" s="70">
        <v>1786</v>
      </c>
      <c r="G131" s="71" t="s">
        <v>7</v>
      </c>
      <c r="H131" s="72">
        <v>13</v>
      </c>
      <c r="I131" s="73" t="s">
        <v>340</v>
      </c>
      <c r="J131" s="74">
        <f>IF(MID(I131,1,2)=("P."),(ROUND(D131*((F131)+(H131/100)),)),IF(MID(I131,1,2)=("%o"),(ROUND(D131*(((F131)+(H131/100))/1000),)),IF(MID(I131,1,2)=("Ea"),(ROUND(D131*((F131)+(H131/100)),)),ROUND(D131*(((F131)+(H131/100))/100),))))</f>
        <v>12503</v>
      </c>
      <c r="K131" s="75" t="s">
        <v>9</v>
      </c>
    </row>
    <row r="132" spans="1:11" ht="14.1" customHeight="1">
      <c r="A132" s="52"/>
      <c r="B132" s="96"/>
      <c r="C132" s="53"/>
      <c r="D132" s="236" t="s">
        <v>754</v>
      </c>
      <c r="E132" s="236"/>
      <c r="F132" s="236"/>
      <c r="G132" s="236"/>
      <c r="H132" s="236"/>
      <c r="I132" s="236"/>
      <c r="J132" s="236"/>
      <c r="K132" s="236"/>
    </row>
    <row r="133" spans="1:11" ht="14.1" customHeight="1">
      <c r="A133" s="129">
        <v>9</v>
      </c>
      <c r="B133" s="96" t="s">
        <v>307</v>
      </c>
      <c r="C133" s="96"/>
      <c r="D133" s="142"/>
      <c r="E133" s="143"/>
      <c r="F133" s="144"/>
      <c r="G133" s="145"/>
      <c r="H133" s="146"/>
      <c r="I133" s="147"/>
      <c r="J133" s="148"/>
      <c r="K133" s="149"/>
    </row>
    <row r="134" spans="1:11" ht="14.1" customHeight="1">
      <c r="A134" s="129"/>
      <c r="B134" s="96" t="s">
        <v>308</v>
      </c>
      <c r="C134" s="96"/>
      <c r="D134" s="142"/>
      <c r="E134" s="143"/>
      <c r="F134" s="144"/>
      <c r="G134" s="145"/>
      <c r="H134" s="146"/>
      <c r="I134" s="147"/>
      <c r="J134" s="148"/>
      <c r="K134" s="149"/>
    </row>
    <row r="135" spans="1:11" ht="14.1" customHeight="1">
      <c r="A135" s="129"/>
      <c r="B135" s="96" t="s">
        <v>309</v>
      </c>
      <c r="C135" s="96"/>
      <c r="D135" s="142"/>
      <c r="E135" s="143"/>
      <c r="F135" s="144"/>
      <c r="G135" s="145"/>
      <c r="H135" s="146"/>
      <c r="I135" s="147"/>
      <c r="J135" s="148"/>
      <c r="K135" s="149"/>
    </row>
    <row r="136" spans="1:11" ht="14.1" customHeight="1">
      <c r="A136" s="129"/>
      <c r="B136" s="96" t="s">
        <v>310</v>
      </c>
      <c r="C136" s="96"/>
      <c r="D136" s="150">
        <f>Mes!J295</f>
        <v>1504.5</v>
      </c>
      <c r="E136" s="143" t="s">
        <v>82</v>
      </c>
      <c r="F136" s="144">
        <v>3275</v>
      </c>
      <c r="G136" s="145" t="s">
        <v>7</v>
      </c>
      <c r="H136" s="143">
        <v>50</v>
      </c>
      <c r="I136" s="147" t="s">
        <v>68</v>
      </c>
      <c r="J136" s="148">
        <f>IF(MID(I136,1,2)=("P."),(ROUND(D136*((F136)+(H136/100)),)),IF(MID(I136,1,2)=("%o"),(ROUND(D136*(((F136)+(H136/100))/1000),)),IF(MID(I136,1,2)=("Ea"),(ROUND(D136*((F136)+(H136/100)),)),ROUND(D136*(((F136)+(H136/100))/100),))))</f>
        <v>49280</v>
      </c>
      <c r="K136" s="149" t="s">
        <v>9</v>
      </c>
    </row>
    <row r="137" spans="1:11" ht="14.1" customHeight="1">
      <c r="A137" s="52"/>
      <c r="B137" s="96"/>
      <c r="C137" s="53"/>
      <c r="D137" s="240" t="s">
        <v>755</v>
      </c>
      <c r="E137" s="240"/>
      <c r="F137" s="240"/>
      <c r="G137" s="240"/>
      <c r="H137" s="240"/>
      <c r="I137" s="240"/>
      <c r="J137" s="240"/>
      <c r="K137" s="240"/>
    </row>
    <row r="138" spans="1:11" ht="14.1" customHeight="1">
      <c r="A138" s="52">
        <v>10</v>
      </c>
      <c r="B138" s="96" t="s">
        <v>341</v>
      </c>
      <c r="C138" s="53"/>
      <c r="D138" s="150">
        <f>Mes!J307</f>
        <v>1212.875</v>
      </c>
      <c r="E138" s="143" t="s">
        <v>82</v>
      </c>
      <c r="F138" s="144">
        <v>442</v>
      </c>
      <c r="G138" s="145" t="s">
        <v>7</v>
      </c>
      <c r="H138" s="143">
        <v>75</v>
      </c>
      <c r="I138" s="147" t="s">
        <v>68</v>
      </c>
      <c r="J138" s="148">
        <f>IF(MID(I138,1,2)=("P."),(ROUND(D138*((F138)+(H138/100)),)),IF(MID(I138,1,2)=("%o"),(ROUND(D138*(((F138)+(H138/100))/1000),)),IF(MID(I138,1,2)=("Ea"),(ROUND(D138*((F138)+(H138/100)),)),ROUND(D138*(((F138)+(H138/100))/100),))))</f>
        <v>5370</v>
      </c>
      <c r="K138" s="149" t="s">
        <v>9</v>
      </c>
    </row>
    <row r="139" spans="1:11" ht="14.1" customHeight="1">
      <c r="A139" s="52"/>
      <c r="B139" s="96"/>
      <c r="C139" s="53"/>
      <c r="D139" s="236" t="s">
        <v>756</v>
      </c>
      <c r="E139" s="236"/>
      <c r="F139" s="236"/>
      <c r="G139" s="236"/>
      <c r="H139" s="236"/>
      <c r="I139" s="236"/>
      <c r="J139" s="236"/>
      <c r="K139" s="236"/>
    </row>
    <row r="140" spans="1:11" ht="14.1" customHeight="1">
      <c r="A140" s="50">
        <v>11</v>
      </c>
      <c r="B140" s="205" t="s">
        <v>344</v>
      </c>
      <c r="C140" s="50"/>
      <c r="D140" s="50"/>
      <c r="E140" s="50"/>
      <c r="F140" s="50"/>
      <c r="G140" s="50"/>
      <c r="H140" s="51"/>
      <c r="I140" s="50"/>
      <c r="J140" s="50"/>
      <c r="K140" s="50"/>
    </row>
    <row r="141" spans="1:11" ht="14.1" customHeight="1">
      <c r="A141" s="50"/>
      <c r="B141" s="205" t="s">
        <v>342</v>
      </c>
      <c r="C141" s="50"/>
      <c r="D141" s="68">
        <f>Mes!J309</f>
        <v>1212.875</v>
      </c>
      <c r="E141" s="69" t="s">
        <v>8</v>
      </c>
      <c r="F141" s="70">
        <v>1079</v>
      </c>
      <c r="G141" s="71" t="s">
        <v>7</v>
      </c>
      <c r="H141" s="72">
        <v>65</v>
      </c>
      <c r="I141" s="73" t="s">
        <v>343</v>
      </c>
      <c r="J141" s="74">
        <f>IF(MID(I141,1,2)=("P."),(ROUND(D141*((F141)+(H141/100)),)),IF(MID(I141,1,2)=("%o"),(ROUND(D141*(((F141)+(H141/100))/1000),)),IF(MID(I141,1,2)=("Ea"),(ROUND(D141*((F141)+(H141/100)),)),ROUND(D141*(((F141)+(H141/100))/100),))))</f>
        <v>13095</v>
      </c>
      <c r="K141" s="75" t="s">
        <v>9</v>
      </c>
    </row>
    <row r="142" spans="1:11" ht="14.1" customHeight="1">
      <c r="A142" s="38"/>
      <c r="B142" s="205"/>
      <c r="C142" s="50"/>
      <c r="D142" s="241" t="s">
        <v>757</v>
      </c>
      <c r="E142" s="241"/>
      <c r="F142" s="241"/>
      <c r="G142" s="241"/>
      <c r="H142" s="241"/>
      <c r="I142" s="241"/>
      <c r="J142" s="241"/>
      <c r="K142" s="241"/>
    </row>
    <row r="143" spans="1:11" ht="14.1" customHeight="1">
      <c r="A143" s="38">
        <v>12</v>
      </c>
      <c r="B143" s="205" t="s">
        <v>345</v>
      </c>
      <c r="C143" s="50"/>
      <c r="D143" s="50"/>
      <c r="E143" s="50"/>
      <c r="F143" s="50"/>
      <c r="G143" s="50"/>
      <c r="H143" s="51"/>
      <c r="I143" s="50"/>
      <c r="J143" s="50"/>
      <c r="K143" s="50"/>
    </row>
    <row r="144" spans="1:11" ht="14.1" customHeight="1">
      <c r="A144" s="50"/>
      <c r="B144" s="205" t="s">
        <v>346</v>
      </c>
      <c r="C144" s="50"/>
      <c r="D144" s="55"/>
      <c r="E144" s="56"/>
      <c r="F144" s="57"/>
      <c r="G144" s="58"/>
      <c r="H144" s="59"/>
      <c r="I144" s="60"/>
      <c r="J144" s="61"/>
      <c r="K144" s="62"/>
    </row>
    <row r="145" spans="1:11" ht="14.1" customHeight="1">
      <c r="A145" s="50"/>
      <c r="B145" s="205" t="s">
        <v>347</v>
      </c>
      <c r="C145" s="50"/>
      <c r="D145" s="50"/>
      <c r="E145" s="64"/>
      <c r="F145" s="70"/>
      <c r="G145" s="71"/>
      <c r="H145" s="72"/>
      <c r="I145" s="73"/>
      <c r="J145" s="74"/>
      <c r="K145" s="75"/>
    </row>
    <row r="146" spans="1:11" ht="14.1" customHeight="1">
      <c r="A146" s="52"/>
      <c r="B146" s="202" t="s">
        <v>348</v>
      </c>
      <c r="C146" s="53"/>
      <c r="D146" s="84"/>
      <c r="E146" s="77"/>
      <c r="F146" s="57"/>
      <c r="G146" s="85"/>
      <c r="H146" s="59"/>
      <c r="I146" s="60"/>
      <c r="J146" s="61"/>
      <c r="K146" s="62"/>
    </row>
    <row r="147" spans="1:11" ht="14.1" customHeight="1">
      <c r="A147" s="52"/>
      <c r="B147" s="202" t="s">
        <v>349</v>
      </c>
      <c r="C147" s="53"/>
      <c r="D147" s="68">
        <f>Mes!J312</f>
        <v>2985</v>
      </c>
      <c r="E147" s="69" t="s">
        <v>8</v>
      </c>
      <c r="F147" s="70">
        <v>2237</v>
      </c>
      <c r="G147" s="71" t="s">
        <v>7</v>
      </c>
      <c r="H147" s="72">
        <v>95</v>
      </c>
      <c r="I147" s="73" t="s">
        <v>343</v>
      </c>
      <c r="J147" s="74">
        <f>IF(MID(I147,1,2)=("P."),(ROUND(D147*((F147)+(H147/100)),)),IF(MID(I147,1,2)=("%o"),(ROUND(D147*(((F147)+(H147/100))/1000),)),IF(MID(I147,1,2)=("Ea"),(ROUND(D147*((F147)+(H147/100)),)),ROUND(D147*(((F147)+(H147/100))/100),))))</f>
        <v>66803</v>
      </c>
      <c r="K147" s="75" t="s">
        <v>9</v>
      </c>
    </row>
    <row r="148" spans="1:11" ht="14.1" customHeight="1">
      <c r="A148" s="52"/>
      <c r="B148" s="202"/>
      <c r="C148" s="53"/>
      <c r="D148" s="242" t="s">
        <v>758</v>
      </c>
      <c r="E148" s="242"/>
      <c r="F148" s="242"/>
      <c r="G148" s="242"/>
      <c r="H148" s="242"/>
      <c r="I148" s="242"/>
      <c r="J148" s="242"/>
      <c r="K148" s="242"/>
    </row>
    <row r="149" spans="1:11" ht="14.1" customHeight="1">
      <c r="A149" s="52">
        <v>13</v>
      </c>
      <c r="B149" s="202" t="s">
        <v>345</v>
      </c>
      <c r="C149" s="53"/>
      <c r="D149" s="76"/>
      <c r="E149" s="77"/>
      <c r="F149" s="57"/>
      <c r="G149" s="60"/>
      <c r="H149" s="77"/>
      <c r="I149" s="60"/>
      <c r="J149" s="57"/>
      <c r="K149" s="77"/>
    </row>
    <row r="150" spans="1:11" ht="14.1" customHeight="1">
      <c r="A150" s="52"/>
      <c r="B150" s="202" t="s">
        <v>350</v>
      </c>
      <c r="C150" s="53"/>
      <c r="D150" s="76"/>
      <c r="E150" s="77"/>
      <c r="F150" s="57"/>
      <c r="G150" s="60"/>
      <c r="H150" s="77"/>
      <c r="I150" s="60"/>
      <c r="J150" s="57"/>
      <c r="K150" s="77"/>
    </row>
    <row r="151" spans="1:11" ht="14.1" customHeight="1">
      <c r="A151" s="52"/>
      <c r="B151" s="202" t="s">
        <v>351</v>
      </c>
      <c r="C151" s="53"/>
      <c r="D151" s="76"/>
      <c r="E151" s="77"/>
      <c r="F151" s="57"/>
      <c r="G151" s="60"/>
      <c r="H151" s="77"/>
      <c r="I151" s="60"/>
      <c r="J151" s="57"/>
      <c r="K151" s="77"/>
    </row>
    <row r="152" spans="1:11" ht="14.1" customHeight="1">
      <c r="A152" s="52"/>
      <c r="B152" s="202" t="s">
        <v>352</v>
      </c>
      <c r="C152" s="53"/>
      <c r="D152" s="76"/>
      <c r="E152" s="77"/>
      <c r="F152" s="57"/>
      <c r="G152" s="60"/>
      <c r="H152" s="77"/>
      <c r="I152" s="60"/>
      <c r="J152" s="57"/>
      <c r="K152" s="77"/>
    </row>
    <row r="153" spans="1:11" ht="14.1" customHeight="1">
      <c r="A153" s="52"/>
      <c r="B153" s="202" t="s">
        <v>353</v>
      </c>
      <c r="C153" s="53"/>
      <c r="D153" s="76"/>
      <c r="E153" s="77"/>
      <c r="F153" s="57"/>
      <c r="G153" s="60"/>
      <c r="H153" s="77"/>
      <c r="I153" s="60"/>
      <c r="J153" s="57"/>
      <c r="K153" s="77"/>
    </row>
    <row r="154" spans="1:11" ht="14.1" customHeight="1">
      <c r="A154" s="52"/>
      <c r="B154" s="202" t="s">
        <v>354</v>
      </c>
      <c r="C154" s="53"/>
      <c r="D154" s="55">
        <f>Mes!J315</f>
        <v>2055.9100000000003</v>
      </c>
      <c r="E154" s="56" t="s">
        <v>8</v>
      </c>
      <c r="F154" s="57">
        <v>2567</v>
      </c>
      <c r="G154" s="58" t="s">
        <v>7</v>
      </c>
      <c r="H154" s="59">
        <v>95</v>
      </c>
      <c r="I154" s="60" t="s">
        <v>68</v>
      </c>
      <c r="J154" s="61">
        <f>IF(MID(I154,1,2)=("P."),(ROUND(D154*((F154)+(H154/100)),)),IF(MID(I154,1,2)=("%o"),(ROUND(D154*(((F154)+(H154/100))/1000),)),IF(MID(I154,1,2)=("Ea"),(ROUND(D154*((F154)+(H154/100)),)),ROUND(D154*(((F154)+(H154/100))/100),))))</f>
        <v>52795</v>
      </c>
      <c r="K154" s="62" t="s">
        <v>9</v>
      </c>
    </row>
    <row r="155" spans="1:11" ht="14.1" customHeight="1">
      <c r="A155" s="52"/>
      <c r="B155" s="202"/>
      <c r="C155" s="53"/>
      <c r="D155" s="211" t="s">
        <v>759</v>
      </c>
      <c r="E155" s="211"/>
      <c r="F155" s="211"/>
      <c r="G155" s="211"/>
      <c r="H155" s="211"/>
      <c r="I155" s="211"/>
      <c r="J155" s="211"/>
      <c r="K155" s="211"/>
    </row>
    <row r="156" spans="1:11" ht="14.1" customHeight="1">
      <c r="A156" s="114">
        <v>14</v>
      </c>
      <c r="B156" s="96" t="s">
        <v>355</v>
      </c>
      <c r="C156" s="83"/>
      <c r="D156" s="97"/>
      <c r="E156" s="128"/>
      <c r="F156" s="128"/>
      <c r="G156" s="106"/>
      <c r="H156" s="83"/>
      <c r="I156" s="83"/>
      <c r="J156" s="83"/>
      <c r="K156" s="83"/>
    </row>
    <row r="157" spans="1:11" ht="14.1" customHeight="1">
      <c r="A157" s="114"/>
      <c r="B157" s="96" t="s">
        <v>356</v>
      </c>
      <c r="C157" s="83"/>
      <c r="D157" s="97"/>
      <c r="E157" s="128"/>
      <c r="F157" s="128"/>
      <c r="G157" s="106"/>
      <c r="H157" s="83"/>
      <c r="I157" s="83"/>
      <c r="J157" s="83"/>
      <c r="K157" s="83"/>
    </row>
    <row r="158" spans="1:11" ht="14.1" customHeight="1">
      <c r="A158" s="114"/>
      <c r="B158" s="96" t="s">
        <v>357</v>
      </c>
      <c r="C158" s="83"/>
      <c r="D158" s="158">
        <f>Mes!J322</f>
        <v>434</v>
      </c>
      <c r="E158" s="132" t="s">
        <v>8</v>
      </c>
      <c r="F158" s="106">
        <v>2116</v>
      </c>
      <c r="G158" s="140" t="s">
        <v>7</v>
      </c>
      <c r="H158" s="132">
        <v>41</v>
      </c>
      <c r="I158" s="128" t="s">
        <v>358</v>
      </c>
      <c r="J158" s="134">
        <f>IF(MID(I158,1,2)=("P."),(ROUND(D158*((F158)+(H158/100)),)),IF(MID(I158,1,2)=("%o"),(ROUND(D158*(((F158)+(H158/100))/1000),)),IF(MID(I158,1,2)=("Ea"),(ROUND(D158*((F158)+(H158/100)),)),ROUND(D158*(((F158)+(H158/100))/100),))))</f>
        <v>9185</v>
      </c>
      <c r="K158" s="135" t="s">
        <v>9</v>
      </c>
    </row>
    <row r="159" spans="1:11" ht="14.1" customHeight="1">
      <c r="A159" s="114"/>
      <c r="B159" s="83"/>
      <c r="C159" s="83"/>
      <c r="D159" s="239" t="s">
        <v>760</v>
      </c>
      <c r="E159" s="239"/>
      <c r="F159" s="239"/>
      <c r="G159" s="239"/>
      <c r="H159" s="239"/>
      <c r="I159" s="239"/>
      <c r="J159" s="239"/>
      <c r="K159" s="239"/>
    </row>
    <row r="160" spans="1:11" ht="14.1" customHeight="1">
      <c r="A160" s="50"/>
      <c r="B160" s="53"/>
      <c r="C160" s="53"/>
      <c r="D160" s="55"/>
      <c r="E160" s="78"/>
      <c r="F160" s="78"/>
      <c r="G160" s="78"/>
      <c r="H160" s="72"/>
      <c r="I160" s="79" t="s">
        <v>50</v>
      </c>
      <c r="J160" s="200">
        <f>SUM(J81:J158)</f>
        <v>1796347</v>
      </c>
      <c r="K160" s="81" t="s">
        <v>9</v>
      </c>
    </row>
    <row r="161" spans="1:11" ht="14.1" customHeight="1">
      <c r="A161" s="50"/>
      <c r="B161" s="67"/>
      <c r="C161" s="78"/>
      <c r="D161" s="78"/>
      <c r="E161" s="65" t="s">
        <v>711</v>
      </c>
      <c r="F161" s="57"/>
      <c r="G161" s="58"/>
      <c r="H161" s="59"/>
      <c r="I161" s="57"/>
      <c r="J161" s="61"/>
      <c r="K161" s="62" t="s">
        <v>9</v>
      </c>
    </row>
    <row r="162" spans="1:11" ht="14.1" customHeight="1">
      <c r="A162" s="50"/>
      <c r="B162" s="67"/>
      <c r="C162" s="78"/>
      <c r="D162" s="78"/>
      <c r="E162" s="65"/>
      <c r="F162" s="57"/>
      <c r="G162" s="58"/>
      <c r="H162" s="59"/>
      <c r="I162" s="82" t="s">
        <v>19</v>
      </c>
      <c r="J162" s="162"/>
      <c r="K162" s="66" t="s">
        <v>9</v>
      </c>
    </row>
    <row r="163" spans="1:11" ht="14.1" customHeight="1">
      <c r="A163" s="52"/>
      <c r="B163" s="159" t="s">
        <v>365</v>
      </c>
      <c r="C163" s="53"/>
      <c r="D163" s="68"/>
      <c r="E163" s="69"/>
      <c r="F163" s="70"/>
      <c r="G163" s="71"/>
      <c r="H163" s="72"/>
      <c r="I163" s="73"/>
      <c r="J163" s="74"/>
      <c r="K163" s="75"/>
    </row>
    <row r="164" spans="1:11" ht="14.1" customHeight="1">
      <c r="A164" s="52">
        <v>1</v>
      </c>
      <c r="B164" s="96" t="s">
        <v>359</v>
      </c>
      <c r="C164" s="53"/>
      <c r="D164" s="68"/>
      <c r="E164" s="69"/>
      <c r="F164" s="70"/>
      <c r="G164" s="71"/>
      <c r="H164" s="72"/>
      <c r="I164" s="73"/>
      <c r="J164" s="74"/>
      <c r="K164" s="75"/>
    </row>
    <row r="165" spans="1:11" ht="14.1" customHeight="1">
      <c r="A165" s="52"/>
      <c r="B165" s="202" t="s">
        <v>360</v>
      </c>
      <c r="C165" s="53"/>
      <c r="D165" s="68"/>
      <c r="E165" s="69"/>
      <c r="F165" s="70"/>
      <c r="G165" s="71"/>
      <c r="H165" s="72"/>
      <c r="I165" s="73"/>
      <c r="J165" s="74"/>
      <c r="K165" s="75"/>
    </row>
    <row r="166" spans="1:11" ht="14.1" customHeight="1">
      <c r="A166" s="52"/>
      <c r="B166" s="202" t="s">
        <v>361</v>
      </c>
      <c r="C166" s="53"/>
      <c r="D166" s="68"/>
      <c r="E166" s="69"/>
      <c r="F166" s="70"/>
      <c r="G166" s="71"/>
      <c r="H166" s="72"/>
      <c r="I166" s="73"/>
      <c r="J166" s="74"/>
      <c r="K166" s="75"/>
    </row>
    <row r="167" spans="1:11" ht="14.1" customHeight="1">
      <c r="A167" s="52"/>
      <c r="B167" s="202" t="s">
        <v>362</v>
      </c>
      <c r="C167" s="53"/>
      <c r="D167" s="68"/>
      <c r="E167" s="69"/>
      <c r="F167" s="70"/>
      <c r="G167" s="71"/>
      <c r="H167" s="72"/>
      <c r="I167" s="73"/>
      <c r="J167" s="74"/>
      <c r="K167" s="75"/>
    </row>
    <row r="168" spans="1:11" ht="14.1" customHeight="1">
      <c r="A168" s="52"/>
      <c r="B168" s="202" t="s">
        <v>363</v>
      </c>
      <c r="C168" s="53"/>
      <c r="D168" s="68"/>
      <c r="E168" s="69"/>
      <c r="F168" s="70"/>
      <c r="G168" s="71"/>
      <c r="H168" s="72"/>
      <c r="I168" s="73"/>
      <c r="J168" s="74"/>
      <c r="K168" s="75"/>
    </row>
    <row r="169" spans="1:11" ht="14.1" customHeight="1">
      <c r="A169" s="52"/>
      <c r="B169" s="202" t="s">
        <v>364</v>
      </c>
      <c r="C169" s="53"/>
      <c r="D169" s="158">
        <f>Mes!J333</f>
        <v>268</v>
      </c>
      <c r="E169" s="132" t="s">
        <v>8</v>
      </c>
      <c r="F169" s="106"/>
      <c r="G169" s="140"/>
      <c r="H169" s="132"/>
      <c r="I169" s="128" t="s">
        <v>4</v>
      </c>
      <c r="J169" s="134"/>
      <c r="K169" s="135"/>
    </row>
    <row r="170" spans="1:11" ht="14.1" customHeight="1">
      <c r="A170" s="52"/>
      <c r="B170" s="202"/>
      <c r="C170" s="53"/>
      <c r="D170" s="68"/>
      <c r="E170" s="69"/>
      <c r="F170" s="70"/>
      <c r="G170" s="71"/>
      <c r="H170" s="72"/>
      <c r="I170" s="73"/>
      <c r="J170" s="74"/>
      <c r="K170" s="75"/>
    </row>
    <row r="171" spans="1:11" ht="14.1" customHeight="1">
      <c r="A171" s="52">
        <v>2</v>
      </c>
      <c r="B171" s="202" t="s">
        <v>369</v>
      </c>
      <c r="C171" s="53"/>
      <c r="D171" s="68"/>
      <c r="E171" s="69"/>
      <c r="F171" s="70"/>
      <c r="G171" s="71"/>
      <c r="H171" s="72"/>
      <c r="I171" s="73"/>
      <c r="J171" s="74"/>
      <c r="K171" s="75"/>
    </row>
    <row r="172" spans="1:11" ht="14.1" customHeight="1">
      <c r="A172" s="52"/>
      <c r="B172" s="202" t="s">
        <v>366</v>
      </c>
      <c r="C172" s="53"/>
      <c r="D172" s="68"/>
      <c r="E172" s="69"/>
      <c r="F172" s="70"/>
      <c r="G172" s="71"/>
      <c r="H172" s="72"/>
      <c r="I172" s="73"/>
      <c r="J172" s="74"/>
      <c r="K172" s="75"/>
    </row>
    <row r="173" spans="1:11">
      <c r="A173" s="52"/>
      <c r="B173" s="202" t="s">
        <v>367</v>
      </c>
      <c r="C173" s="53"/>
      <c r="D173" s="68"/>
      <c r="E173" s="69"/>
      <c r="F173" s="70"/>
      <c r="G173" s="71"/>
      <c r="H173" s="72"/>
      <c r="I173" s="73"/>
      <c r="J173" s="74"/>
      <c r="K173" s="75"/>
    </row>
    <row r="174" spans="1:11">
      <c r="A174" s="52"/>
      <c r="B174" s="202" t="s">
        <v>368</v>
      </c>
      <c r="C174" s="53"/>
      <c r="D174" s="68"/>
      <c r="E174" s="69"/>
      <c r="F174" s="70"/>
      <c r="G174" s="71"/>
      <c r="H174" s="72"/>
      <c r="I174" s="73"/>
      <c r="J174" s="74"/>
      <c r="K174" s="75"/>
    </row>
    <row r="175" spans="1:11" ht="15.75">
      <c r="A175" s="52"/>
      <c r="B175" s="202" t="s">
        <v>370</v>
      </c>
      <c r="C175" s="53"/>
      <c r="D175" s="158">
        <f>Mes!J349</f>
        <v>849.5</v>
      </c>
      <c r="E175" s="132" t="s">
        <v>8</v>
      </c>
      <c r="F175" s="106"/>
      <c r="G175" s="140"/>
      <c r="H175" s="132"/>
      <c r="I175" s="128" t="s">
        <v>4</v>
      </c>
      <c r="J175" s="134"/>
      <c r="K175" s="135"/>
    </row>
    <row r="176" spans="1:11">
      <c r="A176" s="52"/>
      <c r="B176" s="202"/>
      <c r="C176" s="53"/>
      <c r="D176" s="68"/>
      <c r="E176" s="69"/>
      <c r="F176" s="70"/>
      <c r="G176" s="71"/>
      <c r="H176" s="72"/>
      <c r="I176" s="73"/>
      <c r="J176" s="74"/>
      <c r="K176" s="75"/>
    </row>
    <row r="177" spans="1:11">
      <c r="A177" s="50">
        <v>3</v>
      </c>
      <c r="B177" s="201" t="s">
        <v>700</v>
      </c>
      <c r="C177" s="53"/>
      <c r="D177" s="161"/>
      <c r="E177" s="64"/>
      <c r="F177" s="70"/>
      <c r="G177" s="71"/>
      <c r="H177" s="72"/>
      <c r="I177" s="73"/>
      <c r="J177" s="74"/>
      <c r="K177" s="75"/>
    </row>
    <row r="178" spans="1:11">
      <c r="A178" s="50"/>
      <c r="B178" s="201" t="s">
        <v>701</v>
      </c>
      <c r="C178" s="53"/>
      <c r="D178" s="161"/>
      <c r="E178" s="64"/>
      <c r="F178" s="70"/>
      <c r="G178" s="71"/>
      <c r="H178" s="72"/>
      <c r="I178" s="73"/>
      <c r="J178" s="74"/>
      <c r="K178" s="75"/>
    </row>
    <row r="179" spans="1:11">
      <c r="A179" s="50"/>
      <c r="B179" s="201" t="s">
        <v>702</v>
      </c>
      <c r="C179" s="53"/>
      <c r="D179" s="161"/>
      <c r="E179" s="64"/>
      <c r="F179" s="70"/>
      <c r="G179" s="71"/>
      <c r="H179" s="72"/>
      <c r="I179" s="73"/>
      <c r="J179" s="74"/>
      <c r="K179" s="75"/>
    </row>
    <row r="180" spans="1:11">
      <c r="A180" s="50"/>
      <c r="B180" s="201" t="s">
        <v>703</v>
      </c>
      <c r="C180" s="53"/>
      <c r="D180" s="161"/>
      <c r="E180" s="64"/>
      <c r="F180" s="70"/>
      <c r="G180" s="71"/>
      <c r="H180" s="72"/>
      <c r="I180" s="73"/>
      <c r="J180" s="74"/>
      <c r="K180" s="75"/>
    </row>
    <row r="181" spans="1:11">
      <c r="A181" s="50"/>
      <c r="B181" s="201" t="s">
        <v>704</v>
      </c>
      <c r="C181" s="53"/>
      <c r="D181" s="161"/>
      <c r="E181" s="64"/>
      <c r="F181" s="70"/>
      <c r="G181" s="71"/>
      <c r="H181" s="72"/>
      <c r="I181" s="73"/>
      <c r="J181" s="74"/>
      <c r="K181" s="75"/>
    </row>
    <row r="182" spans="1:11">
      <c r="A182" s="50"/>
      <c r="B182" s="201" t="s">
        <v>705</v>
      </c>
      <c r="C182" s="53"/>
      <c r="D182" s="161"/>
      <c r="E182" s="64"/>
      <c r="F182" s="70"/>
      <c r="G182" s="71"/>
      <c r="H182" s="72"/>
      <c r="I182" s="73"/>
      <c r="J182" s="74"/>
      <c r="K182" s="75"/>
    </row>
    <row r="183" spans="1:11">
      <c r="A183" s="50"/>
      <c r="B183" s="201" t="s">
        <v>706</v>
      </c>
      <c r="C183" s="53"/>
      <c r="D183" s="161"/>
      <c r="E183" s="64"/>
      <c r="F183" s="70"/>
      <c r="G183" s="71"/>
      <c r="H183" s="72"/>
      <c r="I183" s="73"/>
      <c r="J183" s="74"/>
      <c r="K183" s="75"/>
    </row>
    <row r="184" spans="1:11">
      <c r="A184" s="50"/>
      <c r="B184" s="201" t="s">
        <v>707</v>
      </c>
      <c r="C184" s="53"/>
      <c r="D184" s="161"/>
      <c r="E184" s="64"/>
      <c r="F184" s="70"/>
      <c r="G184" s="71"/>
      <c r="H184" s="72"/>
      <c r="I184" s="73"/>
      <c r="J184" s="74"/>
      <c r="K184" s="75"/>
    </row>
    <row r="185" spans="1:11">
      <c r="A185" s="50"/>
      <c r="B185" s="201" t="s">
        <v>708</v>
      </c>
      <c r="C185" s="53"/>
      <c r="D185" s="55">
        <v>1161.75</v>
      </c>
      <c r="E185" s="56" t="s">
        <v>8</v>
      </c>
      <c r="F185" s="57"/>
      <c r="G185" s="58"/>
      <c r="H185" s="59"/>
      <c r="I185" s="60" t="s">
        <v>4</v>
      </c>
      <c r="J185" s="61"/>
      <c r="K185" s="62"/>
    </row>
    <row r="186" spans="1:11">
      <c r="A186" s="50"/>
      <c r="B186" s="202"/>
      <c r="C186" s="53"/>
    </row>
    <row r="187" spans="1:11">
      <c r="A187" s="52">
        <v>4</v>
      </c>
      <c r="B187" s="96" t="s">
        <v>371</v>
      </c>
      <c r="C187" s="53"/>
      <c r="D187" s="84"/>
      <c r="E187" s="77"/>
      <c r="F187" s="57"/>
      <c r="G187" s="85"/>
      <c r="H187" s="59"/>
      <c r="I187" s="60"/>
      <c r="J187" s="61"/>
      <c r="K187" s="62"/>
    </row>
    <row r="188" spans="1:11">
      <c r="A188" s="52"/>
      <c r="B188" s="96" t="s">
        <v>372</v>
      </c>
      <c r="C188" s="53"/>
      <c r="D188" s="84"/>
      <c r="E188" s="77"/>
      <c r="F188" s="57"/>
      <c r="G188" s="85"/>
      <c r="H188" s="59"/>
      <c r="I188" s="60"/>
      <c r="J188" s="61"/>
      <c r="K188" s="62"/>
    </row>
    <row r="189" spans="1:11">
      <c r="A189" s="52"/>
      <c r="B189" s="96" t="s">
        <v>373</v>
      </c>
      <c r="C189" s="53"/>
      <c r="D189" s="84"/>
      <c r="E189" s="77"/>
      <c r="F189" s="57"/>
      <c r="G189" s="85"/>
      <c r="H189" s="59"/>
      <c r="I189" s="60"/>
      <c r="J189" s="61"/>
      <c r="K189" s="62"/>
    </row>
    <row r="190" spans="1:11">
      <c r="A190" s="52"/>
      <c r="B190" s="96" t="s">
        <v>374</v>
      </c>
      <c r="C190" s="53"/>
      <c r="D190" s="84"/>
      <c r="E190" s="77"/>
      <c r="F190" s="57"/>
      <c r="G190" s="85"/>
      <c r="H190" s="59"/>
      <c r="I190" s="60"/>
      <c r="J190" s="61"/>
      <c r="K190" s="62"/>
    </row>
    <row r="191" spans="1:11">
      <c r="A191" s="52"/>
      <c r="B191" s="96" t="s">
        <v>375</v>
      </c>
      <c r="C191" s="53"/>
      <c r="D191" s="68">
        <f>Mes!J367</f>
        <v>268</v>
      </c>
      <c r="E191" s="69" t="s">
        <v>8</v>
      </c>
      <c r="F191" s="70"/>
      <c r="G191" s="71"/>
      <c r="H191" s="72"/>
      <c r="I191" s="73" t="s">
        <v>4</v>
      </c>
      <c r="J191" s="74"/>
      <c r="K191" s="75"/>
    </row>
    <row r="192" spans="1:11" ht="15.75" thickBot="1">
      <c r="A192" s="50"/>
      <c r="B192" s="67"/>
      <c r="C192" s="78"/>
      <c r="D192" s="78"/>
      <c r="E192" s="65"/>
      <c r="F192" s="78"/>
      <c r="G192" s="78"/>
      <c r="H192" s="72"/>
      <c r="I192" s="79" t="s">
        <v>51</v>
      </c>
      <c r="J192" s="86"/>
      <c r="K192" s="87"/>
    </row>
    <row r="193" spans="1:11" ht="15.75" thickBot="1">
      <c r="A193" s="50"/>
      <c r="B193" s="67"/>
      <c r="C193" s="78"/>
      <c r="D193" s="78"/>
      <c r="E193" s="65"/>
      <c r="F193" s="78"/>
      <c r="G193" s="78"/>
      <c r="H193" s="72"/>
      <c r="I193" s="79"/>
      <c r="J193" s="88"/>
      <c r="K193" s="174"/>
    </row>
    <row r="194" spans="1:11" ht="14.25" customHeight="1" thickBot="1">
      <c r="A194" s="175"/>
      <c r="B194" s="176"/>
      <c r="C194" s="177" t="s">
        <v>712</v>
      </c>
      <c r="D194" s="178"/>
      <c r="E194" s="179"/>
      <c r="F194" s="180"/>
      <c r="G194" s="181"/>
      <c r="H194" s="182"/>
      <c r="I194" s="183"/>
      <c r="J194" s="184"/>
      <c r="K194" s="185"/>
    </row>
    <row r="195" spans="1:11">
      <c r="A195" s="175"/>
      <c r="B195" s="186" t="s">
        <v>713</v>
      </c>
      <c r="C195" s="187" t="s">
        <v>714</v>
      </c>
      <c r="D195" s="187"/>
      <c r="E195" s="188"/>
      <c r="F195" s="180"/>
      <c r="G195" s="181"/>
      <c r="H195" s="189" t="s">
        <v>715</v>
      </c>
      <c r="I195" s="183"/>
      <c r="J195" s="184"/>
      <c r="K195" s="185"/>
    </row>
    <row r="196" spans="1:11">
      <c r="A196" s="175"/>
      <c r="B196" s="186" t="s">
        <v>716</v>
      </c>
      <c r="C196" s="186" t="s">
        <v>761</v>
      </c>
      <c r="D196" s="190"/>
      <c r="E196" s="188"/>
      <c r="F196" s="180"/>
      <c r="G196" s="181"/>
      <c r="H196" s="189" t="s">
        <v>715</v>
      </c>
      <c r="I196" s="183"/>
      <c r="J196" s="184"/>
      <c r="K196" s="185"/>
    </row>
    <row r="197" spans="1:11">
      <c r="A197" s="175"/>
      <c r="B197" s="186" t="s">
        <v>717</v>
      </c>
      <c r="C197" s="187" t="s">
        <v>762</v>
      </c>
      <c r="D197" s="187"/>
      <c r="E197" s="188"/>
      <c r="F197" s="180"/>
      <c r="G197" s="181"/>
      <c r="H197" s="189" t="s">
        <v>715</v>
      </c>
      <c r="I197" s="183"/>
      <c r="J197" s="184"/>
      <c r="K197" s="185"/>
    </row>
    <row r="198" spans="1:11">
      <c r="A198" s="175"/>
      <c r="B198" s="176"/>
      <c r="C198" s="176"/>
      <c r="D198" s="191" t="s">
        <v>718</v>
      </c>
      <c r="E198" s="179"/>
      <c r="F198" s="155"/>
      <c r="G198" s="181"/>
      <c r="H198" s="189" t="s">
        <v>715</v>
      </c>
      <c r="I198" s="183"/>
      <c r="J198" s="184"/>
      <c r="K198" s="185"/>
    </row>
    <row r="199" spans="1:11">
      <c r="A199" s="175"/>
      <c r="B199" s="176" t="s">
        <v>764</v>
      </c>
      <c r="C199" s="176"/>
      <c r="D199" s="191"/>
      <c r="E199" s="2" t="s">
        <v>763</v>
      </c>
      <c r="F199" s="155">
        <v>2</v>
      </c>
      <c r="G199" s="181"/>
      <c r="H199" s="189" t="s">
        <v>715</v>
      </c>
      <c r="I199" s="183"/>
      <c r="J199" s="184"/>
      <c r="K199" s="185"/>
    </row>
    <row r="200" spans="1:11" ht="15.75" customHeight="1">
      <c r="A200" s="175"/>
      <c r="B200" s="186" t="s">
        <v>719</v>
      </c>
      <c r="C200" s="176"/>
      <c r="D200" s="190"/>
      <c r="E200" s="179"/>
      <c r="F200" s="180"/>
      <c r="G200" s="181"/>
      <c r="H200" s="182"/>
      <c r="I200" s="183"/>
      <c r="J200" s="184"/>
      <c r="K200" s="185"/>
    </row>
    <row r="201" spans="1:11" ht="15.75" customHeight="1">
      <c r="A201" s="175">
        <v>1</v>
      </c>
      <c r="B201" s="192" t="s">
        <v>720</v>
      </c>
      <c r="C201" s="176"/>
      <c r="D201" s="190"/>
      <c r="E201" s="179"/>
      <c r="F201" s="180"/>
      <c r="G201" s="181"/>
      <c r="H201" s="182"/>
      <c r="I201" s="183"/>
      <c r="J201" s="184"/>
      <c r="K201" s="185"/>
    </row>
    <row r="202" spans="1:11" ht="15.75" customHeight="1">
      <c r="A202" s="175"/>
      <c r="B202" s="192" t="s">
        <v>721</v>
      </c>
      <c r="C202" s="176"/>
      <c r="D202" s="190"/>
      <c r="E202" s="179"/>
      <c r="F202" s="180"/>
      <c r="G202" s="181"/>
      <c r="H202" s="182"/>
      <c r="I202" s="183"/>
      <c r="J202" s="184"/>
      <c r="K202" s="185"/>
    </row>
    <row r="203" spans="1:11" ht="15" customHeight="1">
      <c r="A203" s="175">
        <v>2</v>
      </c>
      <c r="B203" s="192" t="s">
        <v>722</v>
      </c>
      <c r="C203" s="176"/>
      <c r="D203" s="190"/>
      <c r="E203" s="179"/>
      <c r="F203" s="180"/>
      <c r="G203" s="181"/>
      <c r="H203" s="182"/>
      <c r="I203" s="183"/>
      <c r="J203" s="184"/>
      <c r="K203" s="185"/>
    </row>
    <row r="204" spans="1:11" ht="15" customHeight="1">
      <c r="A204" s="175">
        <v>3</v>
      </c>
      <c r="B204" s="192" t="s">
        <v>723</v>
      </c>
      <c r="C204" s="176"/>
      <c r="D204" s="190"/>
      <c r="E204" s="179"/>
      <c r="F204" s="180"/>
      <c r="G204" s="181"/>
      <c r="H204" s="182"/>
      <c r="I204" s="183"/>
      <c r="J204" s="184"/>
      <c r="K204" s="185"/>
    </row>
    <row r="205" spans="1:11" ht="15" customHeight="1">
      <c r="A205" s="175">
        <v>4</v>
      </c>
      <c r="B205" s="192" t="s">
        <v>724</v>
      </c>
      <c r="C205" s="176"/>
      <c r="D205" s="190"/>
      <c r="E205" s="179"/>
      <c r="F205" s="180"/>
      <c r="G205" s="181"/>
      <c r="H205" s="182"/>
      <c r="I205" s="183"/>
      <c r="J205" s="184"/>
      <c r="K205" s="185"/>
    </row>
    <row r="206" spans="1:11" ht="15" customHeight="1">
      <c r="A206" s="175">
        <v>5</v>
      </c>
      <c r="B206" s="192" t="s">
        <v>725</v>
      </c>
      <c r="C206" s="176"/>
      <c r="D206" s="190"/>
      <c r="E206" s="179"/>
      <c r="F206" s="180"/>
      <c r="G206" s="181"/>
      <c r="H206" s="182"/>
      <c r="I206" s="183"/>
      <c r="J206" s="184"/>
      <c r="K206" s="185"/>
    </row>
    <row r="207" spans="1:11" ht="15" customHeight="1">
      <c r="A207" s="175">
        <v>6</v>
      </c>
      <c r="B207" s="192" t="s">
        <v>726</v>
      </c>
      <c r="C207" s="176"/>
      <c r="D207" s="190"/>
      <c r="E207" s="179"/>
      <c r="F207" s="180"/>
      <c r="G207" s="181"/>
      <c r="H207" s="182"/>
      <c r="I207" s="183"/>
      <c r="J207" s="184"/>
      <c r="K207" s="185"/>
    </row>
    <row r="208" spans="1:11" ht="15" customHeight="1">
      <c r="A208" s="175">
        <v>7</v>
      </c>
      <c r="B208" s="192" t="s">
        <v>727</v>
      </c>
      <c r="C208" s="176"/>
      <c r="D208" s="190"/>
      <c r="E208" s="179"/>
      <c r="F208" s="180"/>
      <c r="G208" s="181"/>
      <c r="H208" s="182"/>
      <c r="I208" s="183"/>
      <c r="J208" s="184"/>
      <c r="K208" s="185"/>
    </row>
    <row r="209" spans="1:11" ht="15" customHeight="1">
      <c r="A209" s="175">
        <v>8</v>
      </c>
      <c r="B209" s="192" t="s">
        <v>728</v>
      </c>
      <c r="C209" s="176"/>
      <c r="D209" s="190"/>
      <c r="E209" s="179"/>
      <c r="F209" s="180"/>
      <c r="G209" s="181"/>
      <c r="H209" s="182"/>
      <c r="I209" s="183"/>
      <c r="J209" s="184"/>
      <c r="K209" s="185"/>
    </row>
    <row r="210" spans="1:11" ht="15" customHeight="1">
      <c r="A210" s="175">
        <v>9</v>
      </c>
      <c r="B210" s="192" t="s">
        <v>729</v>
      </c>
      <c r="C210" s="176"/>
      <c r="D210" s="190"/>
      <c r="E210" s="179"/>
      <c r="F210" s="180"/>
      <c r="G210" s="181"/>
      <c r="H210" s="182"/>
      <c r="I210" s="183"/>
      <c r="J210" s="184"/>
      <c r="K210" s="185"/>
    </row>
    <row r="211" spans="1:11" ht="15" customHeight="1">
      <c r="A211" s="175">
        <v>10</v>
      </c>
      <c r="B211" s="192" t="s">
        <v>730</v>
      </c>
      <c r="C211" s="176"/>
      <c r="D211" s="190"/>
      <c r="E211" s="179"/>
      <c r="F211" s="180"/>
      <c r="G211" s="181"/>
      <c r="H211" s="182"/>
      <c r="I211" s="183"/>
      <c r="J211" s="184"/>
      <c r="K211" s="185"/>
    </row>
    <row r="212" spans="1:11" ht="15" customHeight="1">
      <c r="A212" s="175">
        <v>11</v>
      </c>
      <c r="B212" s="192" t="s">
        <v>731</v>
      </c>
      <c r="C212" s="176"/>
      <c r="D212" s="190"/>
      <c r="E212" s="179"/>
      <c r="F212" s="180"/>
      <c r="G212" s="181"/>
      <c r="H212" s="182"/>
      <c r="I212" s="183"/>
      <c r="J212" s="184"/>
      <c r="K212" s="185"/>
    </row>
    <row r="213" spans="1:11" ht="15" customHeight="1">
      <c r="A213" s="175"/>
      <c r="B213" s="192"/>
      <c r="C213" s="176"/>
      <c r="D213" s="190"/>
      <c r="E213" s="179"/>
      <c r="F213" s="180"/>
      <c r="G213" s="181"/>
      <c r="H213" s="182"/>
      <c r="I213" s="183"/>
      <c r="J213" s="184"/>
      <c r="K213" s="185"/>
    </row>
    <row r="214" spans="1:11" ht="15" customHeight="1">
      <c r="A214" s="175"/>
      <c r="B214" s="186" t="s">
        <v>732</v>
      </c>
      <c r="C214" s="176"/>
      <c r="D214" s="190"/>
      <c r="E214" s="179"/>
      <c r="F214" s="180"/>
      <c r="G214" s="181"/>
      <c r="H214" s="182"/>
      <c r="I214" s="183"/>
      <c r="J214" s="184"/>
      <c r="K214" s="185"/>
    </row>
    <row r="215" spans="1:11">
      <c r="A215" s="175"/>
      <c r="B215" s="193"/>
      <c r="C215" s="5"/>
      <c r="D215" s="190"/>
      <c r="E215" s="179"/>
      <c r="F215" s="180"/>
      <c r="G215" s="181"/>
      <c r="H215" s="182"/>
      <c r="I215" s="183"/>
      <c r="J215" s="194"/>
      <c r="K215" s="185"/>
    </row>
    <row r="216" spans="1:11">
      <c r="A216" s="6"/>
      <c r="B216" s="151"/>
      <c r="C216" s="6"/>
      <c r="D216" s="195" t="s">
        <v>0</v>
      </c>
      <c r="E216" s="7"/>
      <c r="F216" s="6"/>
      <c r="G216" s="7"/>
      <c r="H216" s="151"/>
      <c r="I216" s="175" t="s">
        <v>69</v>
      </c>
      <c r="J216" s="196"/>
      <c r="K216" s="185"/>
    </row>
    <row r="217" spans="1:11">
      <c r="A217" s="7"/>
      <c r="B217" s="193"/>
      <c r="C217" s="7"/>
      <c r="D217" s="3" t="s">
        <v>733</v>
      </c>
      <c r="E217" s="7"/>
      <c r="F217" s="179" t="s">
        <v>734</v>
      </c>
      <c r="G217" s="197"/>
      <c r="H217" s="6"/>
      <c r="I217" s="152"/>
      <c r="J217" s="151"/>
      <c r="K217" s="185"/>
    </row>
    <row r="218" spans="1:11">
      <c r="A218" s="7"/>
      <c r="B218" s="193"/>
      <c r="C218" s="198" t="s">
        <v>1</v>
      </c>
      <c r="D218" s="154"/>
      <c r="E218" s="7"/>
      <c r="F218" s="6"/>
      <c r="G218" s="7"/>
      <c r="H218" s="199" t="s">
        <v>735</v>
      </c>
      <c r="I218" s="152"/>
      <c r="J218" s="7"/>
      <c r="K218" s="185"/>
    </row>
    <row r="219" spans="1:11">
      <c r="A219" s="38"/>
      <c r="H219" s="38"/>
    </row>
    <row r="220" spans="1:11">
      <c r="A220" s="38"/>
      <c r="H220" s="38"/>
    </row>
    <row r="221" spans="1:11">
      <c r="A221" s="38"/>
      <c r="H221" s="38"/>
    </row>
    <row r="222" spans="1:11">
      <c r="A222" s="38"/>
      <c r="H222" s="38"/>
    </row>
    <row r="223" spans="1:11">
      <c r="A223" s="38"/>
      <c r="H223" s="38"/>
    </row>
    <row r="224" spans="1:11">
      <c r="A224" s="38"/>
      <c r="H224" s="38"/>
    </row>
    <row r="225" spans="1:10">
      <c r="A225" s="50"/>
      <c r="B225" s="90"/>
      <c r="C225" s="78"/>
      <c r="D225" s="68"/>
      <c r="E225" s="69"/>
      <c r="F225" s="78"/>
      <c r="G225" s="78"/>
      <c r="H225" s="72"/>
      <c r="I225" s="79"/>
      <c r="J225" s="88"/>
    </row>
    <row r="226" spans="1:10">
      <c r="A226" s="50"/>
      <c r="B226" s="90"/>
      <c r="C226" s="78"/>
      <c r="D226" s="68"/>
      <c r="E226" s="69"/>
      <c r="F226" s="78"/>
      <c r="G226" s="78"/>
      <c r="H226" s="72"/>
      <c r="I226" s="79"/>
      <c r="J226" s="88"/>
    </row>
    <row r="227" spans="1:10">
      <c r="A227" s="50"/>
      <c r="B227" s="90"/>
      <c r="C227" s="78"/>
      <c r="D227" s="68"/>
      <c r="E227" s="69"/>
      <c r="F227" s="78"/>
      <c r="G227" s="78"/>
      <c r="H227" s="72"/>
      <c r="I227" s="79"/>
      <c r="J227" s="88"/>
    </row>
    <row r="228" spans="1:10">
      <c r="A228" s="50"/>
      <c r="B228" s="90"/>
      <c r="C228" s="78"/>
      <c r="D228" s="68"/>
      <c r="E228" s="69"/>
      <c r="F228" s="78"/>
      <c r="G228" s="78"/>
      <c r="H228" s="72"/>
      <c r="I228" s="79"/>
      <c r="J228" s="88"/>
    </row>
    <row r="229" spans="1:10">
      <c r="A229" s="50"/>
      <c r="B229" s="90"/>
      <c r="C229" s="78"/>
      <c r="D229" s="68"/>
      <c r="E229" s="69"/>
      <c r="F229" s="78"/>
      <c r="G229" s="78"/>
      <c r="H229" s="72"/>
      <c r="I229" s="79"/>
      <c r="J229" s="88"/>
    </row>
    <row r="230" spans="1:10">
      <c r="A230" s="50"/>
      <c r="B230" s="90"/>
      <c r="C230" s="78"/>
      <c r="D230" s="68"/>
      <c r="E230" s="69"/>
      <c r="F230" s="78"/>
      <c r="G230" s="78"/>
      <c r="H230" s="72"/>
      <c r="I230" s="79"/>
      <c r="J230" s="88"/>
    </row>
    <row r="231" spans="1:10">
      <c r="A231" s="50"/>
      <c r="B231" s="90"/>
      <c r="C231" s="78"/>
      <c r="D231" s="68"/>
      <c r="E231" s="69"/>
      <c r="F231" s="78"/>
      <c r="G231" s="78"/>
      <c r="H231" s="72"/>
      <c r="I231" s="79"/>
      <c r="J231" s="88"/>
    </row>
    <row r="232" spans="1:10">
      <c r="A232" s="50"/>
      <c r="B232" s="90"/>
      <c r="C232" s="78"/>
      <c r="D232" s="68"/>
      <c r="E232" s="69"/>
      <c r="F232" s="78"/>
      <c r="G232" s="78"/>
      <c r="H232" s="72"/>
      <c r="I232" s="79"/>
      <c r="J232" s="88"/>
    </row>
    <row r="233" spans="1:10">
      <c r="A233" s="50"/>
      <c r="B233" s="90"/>
      <c r="C233" s="78"/>
      <c r="D233" s="68"/>
      <c r="E233" s="69"/>
      <c r="F233" s="78"/>
      <c r="G233" s="78"/>
      <c r="H233" s="72"/>
      <c r="I233" s="79"/>
      <c r="J233" s="88"/>
    </row>
    <row r="234" spans="1:10">
      <c r="A234" s="50"/>
      <c r="B234" s="90"/>
      <c r="C234" s="78"/>
      <c r="D234" s="68"/>
      <c r="E234" s="69"/>
      <c r="F234" s="78"/>
      <c r="G234" s="78"/>
      <c r="H234" s="72"/>
      <c r="I234" s="79"/>
      <c r="J234" s="88"/>
    </row>
    <row r="235" spans="1:10">
      <c r="A235" s="50"/>
      <c r="B235" s="90"/>
      <c r="C235" s="78"/>
      <c r="D235" s="68"/>
      <c r="E235" s="69"/>
      <c r="F235" s="78"/>
      <c r="G235" s="78"/>
      <c r="H235" s="72"/>
      <c r="I235" s="79"/>
      <c r="J235" s="88"/>
    </row>
    <row r="236" spans="1:10">
      <c r="A236" s="50"/>
      <c r="B236" s="90"/>
      <c r="C236" s="78"/>
      <c r="D236" s="68"/>
      <c r="E236" s="69"/>
      <c r="F236" s="78"/>
      <c r="G236" s="78"/>
      <c r="H236" s="72"/>
      <c r="I236" s="79"/>
      <c r="J236" s="88"/>
    </row>
    <row r="237" spans="1:10">
      <c r="A237" s="50"/>
      <c r="B237" s="90"/>
      <c r="C237" s="78"/>
      <c r="D237" s="68"/>
      <c r="E237" s="69"/>
      <c r="F237" s="78"/>
      <c r="G237" s="78"/>
      <c r="H237" s="72"/>
      <c r="I237" s="79"/>
      <c r="J237" s="88"/>
    </row>
    <row r="238" spans="1:10">
      <c r="A238" s="50"/>
      <c r="B238" s="90"/>
      <c r="C238" s="78"/>
      <c r="D238" s="68"/>
      <c r="E238" s="69"/>
      <c r="F238" s="78"/>
      <c r="G238" s="78"/>
      <c r="H238" s="72"/>
      <c r="I238" s="79"/>
      <c r="J238" s="88"/>
    </row>
    <row r="239" spans="1:10">
      <c r="A239" s="50"/>
      <c r="B239" s="90"/>
      <c r="C239" s="78"/>
      <c r="D239" s="68"/>
      <c r="E239" s="69"/>
      <c r="F239" s="78"/>
      <c r="G239" s="78"/>
      <c r="H239" s="72"/>
      <c r="I239" s="79"/>
      <c r="J239" s="88"/>
    </row>
    <row r="240" spans="1:10">
      <c r="A240" s="50"/>
      <c r="B240" s="90"/>
      <c r="C240" s="78"/>
      <c r="D240" s="68"/>
      <c r="E240" s="69"/>
      <c r="F240" s="78"/>
      <c r="G240" s="78"/>
      <c r="H240" s="72"/>
      <c r="I240" s="79"/>
      <c r="J240" s="88"/>
    </row>
    <row r="241" spans="1:10">
      <c r="A241" s="50"/>
      <c r="B241" s="90"/>
      <c r="C241" s="78"/>
      <c r="D241" s="68"/>
      <c r="E241" s="69"/>
      <c r="F241" s="78"/>
      <c r="G241" s="78"/>
      <c r="H241" s="72"/>
      <c r="I241" s="79"/>
      <c r="J241" s="88"/>
    </row>
    <row r="242" spans="1:10">
      <c r="A242" s="50"/>
      <c r="B242" s="90"/>
      <c r="C242" s="78"/>
      <c r="D242" s="68"/>
      <c r="E242" s="69"/>
      <c r="F242" s="78"/>
      <c r="G242" s="78"/>
      <c r="H242" s="72"/>
      <c r="I242" s="79"/>
      <c r="J242" s="88"/>
    </row>
    <row r="243" spans="1:10">
      <c r="A243" s="50"/>
      <c r="B243" s="90"/>
      <c r="C243" s="78"/>
      <c r="D243" s="68"/>
      <c r="E243" s="69"/>
      <c r="F243" s="70"/>
      <c r="G243" s="71"/>
      <c r="H243" s="72"/>
      <c r="I243" s="73"/>
      <c r="J243" s="74"/>
    </row>
    <row r="244" spans="1:10">
      <c r="A244" s="38"/>
      <c r="B244" s="90"/>
      <c r="C244" s="78"/>
      <c r="D244" s="68"/>
      <c r="H244" s="38"/>
    </row>
    <row r="245" spans="1:10">
      <c r="A245" s="38"/>
      <c r="H245" s="38"/>
    </row>
    <row r="246" spans="1:10">
      <c r="A246" s="38"/>
      <c r="H246" s="38"/>
    </row>
    <row r="247" spans="1:10">
      <c r="A247" s="38"/>
      <c r="H247" s="38"/>
    </row>
    <row r="248" spans="1:10">
      <c r="A248" s="38"/>
      <c r="H248" s="38"/>
    </row>
    <row r="249" spans="1:10">
      <c r="A249" s="38"/>
      <c r="H249" s="38"/>
    </row>
    <row r="250" spans="1:10">
      <c r="A250" s="38"/>
      <c r="H250" s="38"/>
    </row>
    <row r="251" spans="1:10">
      <c r="A251" s="38"/>
      <c r="H251" s="38"/>
    </row>
    <row r="252" spans="1:10">
      <c r="A252" s="38"/>
      <c r="H252" s="38"/>
    </row>
    <row r="253" spans="1:10">
      <c r="A253" s="38"/>
      <c r="H253" s="38"/>
    </row>
    <row r="254" spans="1:10">
      <c r="A254" s="38"/>
      <c r="H254" s="38"/>
    </row>
    <row r="255" spans="1:10">
      <c r="A255" s="38"/>
      <c r="H255" s="38"/>
    </row>
    <row r="256" spans="1:10">
      <c r="A256" s="38"/>
      <c r="H256" s="38"/>
    </row>
    <row r="257" spans="1:8">
      <c r="A257" s="38"/>
      <c r="H257" s="38"/>
    </row>
    <row r="258" spans="1:8">
      <c r="A258" s="38"/>
      <c r="H258" s="38"/>
    </row>
    <row r="259" spans="1:8">
      <c r="A259" s="38"/>
      <c r="H259" s="38"/>
    </row>
    <row r="260" spans="1:8">
      <c r="A260" s="38"/>
      <c r="H260" s="38"/>
    </row>
    <row r="261" spans="1:8">
      <c r="A261" s="38"/>
      <c r="H261" s="38"/>
    </row>
    <row r="262" spans="1:8">
      <c r="A262" s="38"/>
      <c r="H262" s="38"/>
    </row>
    <row r="263" spans="1:8">
      <c r="A263" s="38"/>
      <c r="H263" s="38"/>
    </row>
    <row r="264" spans="1:8">
      <c r="A264" s="38"/>
      <c r="H264" s="38"/>
    </row>
    <row r="265" spans="1:8">
      <c r="A265" s="38"/>
      <c r="H265" s="38"/>
    </row>
    <row r="266" spans="1:8">
      <c r="A266" s="38"/>
      <c r="H266" s="38"/>
    </row>
    <row r="267" spans="1:8">
      <c r="A267" s="38"/>
      <c r="H267" s="38"/>
    </row>
    <row r="268" spans="1:8">
      <c r="A268" s="38"/>
      <c r="H268" s="38"/>
    </row>
    <row r="269" spans="1:8">
      <c r="A269" s="38"/>
      <c r="H269" s="38"/>
    </row>
    <row r="270" spans="1:8">
      <c r="A270" s="38"/>
      <c r="H270" s="38"/>
    </row>
    <row r="271" spans="1:8">
      <c r="A271" s="38"/>
      <c r="H271" s="38"/>
    </row>
    <row r="272" spans="1:8">
      <c r="A272" s="38"/>
      <c r="H272" s="38"/>
    </row>
    <row r="273" spans="1:8">
      <c r="A273" s="38"/>
      <c r="H273" s="38"/>
    </row>
    <row r="274" spans="1:8">
      <c r="A274" s="38"/>
      <c r="H274" s="38"/>
    </row>
    <row r="275" spans="1:8">
      <c r="A275" s="38"/>
      <c r="H275" s="38"/>
    </row>
    <row r="276" spans="1:8">
      <c r="A276" s="38"/>
      <c r="H276" s="38"/>
    </row>
    <row r="277" spans="1:8">
      <c r="A277" s="38"/>
      <c r="H277" s="38"/>
    </row>
    <row r="278" spans="1:8">
      <c r="A278" s="38"/>
      <c r="H278" s="38"/>
    </row>
    <row r="279" spans="1:8">
      <c r="A279" s="38"/>
      <c r="H279" s="38"/>
    </row>
    <row r="280" spans="1:8">
      <c r="A280" s="38"/>
      <c r="H280" s="38"/>
    </row>
    <row r="281" spans="1:8">
      <c r="A281" s="38"/>
      <c r="H281" s="38"/>
    </row>
    <row r="282" spans="1:8">
      <c r="A282" s="38"/>
      <c r="H282" s="38"/>
    </row>
    <row r="283" spans="1:8">
      <c r="A283" s="38"/>
      <c r="H283" s="38"/>
    </row>
    <row r="284" spans="1:8">
      <c r="A284" s="38"/>
      <c r="H284" s="38"/>
    </row>
    <row r="285" spans="1:8">
      <c r="A285" s="38"/>
      <c r="H285" s="38"/>
    </row>
    <row r="286" spans="1:8">
      <c r="A286" s="38"/>
      <c r="H286" s="38"/>
    </row>
    <row r="287" spans="1:8">
      <c r="A287" s="38"/>
      <c r="H287" s="38"/>
    </row>
    <row r="288" spans="1:8">
      <c r="A288" s="38"/>
      <c r="H288" s="38"/>
    </row>
    <row r="289" spans="1:8">
      <c r="A289" s="38"/>
      <c r="H289" s="38"/>
    </row>
    <row r="290" spans="1:8">
      <c r="A290" s="38"/>
      <c r="H290" s="38"/>
    </row>
    <row r="291" spans="1:8">
      <c r="A291" s="38"/>
      <c r="H291" s="38"/>
    </row>
    <row r="292" spans="1:8">
      <c r="A292" s="38"/>
      <c r="H292" s="38"/>
    </row>
    <row r="293" spans="1:8">
      <c r="A293" s="38"/>
      <c r="H293" s="38"/>
    </row>
    <row r="294" spans="1:8">
      <c r="A294" s="38"/>
      <c r="H294" s="38"/>
    </row>
    <row r="295" spans="1:8">
      <c r="A295" s="38"/>
      <c r="H295" s="38"/>
    </row>
    <row r="296" spans="1:8">
      <c r="A296" s="38"/>
      <c r="H296" s="38"/>
    </row>
    <row r="297" spans="1:8">
      <c r="A297" s="38"/>
      <c r="H297" s="38"/>
    </row>
    <row r="298" spans="1:8">
      <c r="A298" s="38"/>
      <c r="H298" s="38"/>
    </row>
    <row r="299" spans="1:8">
      <c r="A299" s="38"/>
      <c r="H299" s="38"/>
    </row>
    <row r="300" spans="1:8">
      <c r="A300" s="38"/>
      <c r="H300" s="38"/>
    </row>
    <row r="301" spans="1:8">
      <c r="A301" s="38"/>
      <c r="H301" s="38"/>
    </row>
    <row r="302" spans="1:8">
      <c r="A302" s="38"/>
      <c r="H302" s="38"/>
    </row>
    <row r="303" spans="1:8">
      <c r="A303" s="38"/>
      <c r="H303" s="38"/>
    </row>
    <row r="304" spans="1:8">
      <c r="A304" s="38"/>
      <c r="H304" s="38"/>
    </row>
    <row r="305" spans="1:8">
      <c r="A305" s="38"/>
      <c r="H305" s="38"/>
    </row>
    <row r="306" spans="1:8">
      <c r="A306" s="38"/>
      <c r="H306" s="38"/>
    </row>
    <row r="307" spans="1:8">
      <c r="A307" s="38"/>
      <c r="H307" s="38"/>
    </row>
    <row r="308" spans="1:8">
      <c r="A308" s="38"/>
      <c r="H308" s="38"/>
    </row>
    <row r="309" spans="1:8">
      <c r="A309" s="38"/>
      <c r="H309" s="38"/>
    </row>
    <row r="310" spans="1:8">
      <c r="A310" s="38"/>
      <c r="H310" s="38"/>
    </row>
    <row r="311" spans="1:8">
      <c r="A311" s="38"/>
      <c r="H311" s="38"/>
    </row>
    <row r="312" spans="1:8">
      <c r="A312" s="38"/>
      <c r="H312" s="38"/>
    </row>
    <row r="313" spans="1:8">
      <c r="A313" s="38"/>
      <c r="H313" s="38"/>
    </row>
    <row r="314" spans="1:8">
      <c r="A314" s="38"/>
      <c r="H314" s="38"/>
    </row>
    <row r="315" spans="1:8">
      <c r="A315" s="38"/>
      <c r="H315" s="38"/>
    </row>
    <row r="316" spans="1:8">
      <c r="A316" s="38"/>
      <c r="H316" s="38"/>
    </row>
    <row r="317" spans="1:8">
      <c r="A317" s="38"/>
      <c r="H317" s="38"/>
    </row>
    <row r="318" spans="1:8">
      <c r="A318" s="38"/>
      <c r="H318" s="38"/>
    </row>
    <row r="319" spans="1:8">
      <c r="A319" s="38"/>
      <c r="H319" s="38"/>
    </row>
    <row r="320" spans="1:8">
      <c r="A320" s="38"/>
      <c r="H320" s="38"/>
    </row>
    <row r="321" spans="1:8">
      <c r="A321" s="38"/>
      <c r="H321" s="38"/>
    </row>
    <row r="322" spans="1:8">
      <c r="A322" s="38"/>
      <c r="H322" s="38"/>
    </row>
    <row r="323" spans="1:8">
      <c r="A323" s="38"/>
      <c r="H323" s="38"/>
    </row>
    <row r="324" spans="1:8">
      <c r="A324" s="38"/>
      <c r="H324" s="38"/>
    </row>
    <row r="325" spans="1:8">
      <c r="A325" s="38"/>
      <c r="H325" s="38"/>
    </row>
    <row r="326" spans="1:8">
      <c r="A326" s="38"/>
      <c r="H326" s="38"/>
    </row>
    <row r="327" spans="1:8">
      <c r="A327" s="38"/>
      <c r="H327" s="38"/>
    </row>
    <row r="328" spans="1:8">
      <c r="A328" s="38"/>
      <c r="H328" s="38"/>
    </row>
    <row r="329" spans="1:8">
      <c r="A329" s="38"/>
      <c r="H329" s="38"/>
    </row>
    <row r="330" spans="1:8">
      <c r="A330" s="38"/>
      <c r="H330" s="38"/>
    </row>
    <row r="331" spans="1:8">
      <c r="A331" s="38"/>
      <c r="H331" s="38"/>
    </row>
    <row r="332" spans="1:8">
      <c r="A332" s="38"/>
      <c r="H332" s="38"/>
    </row>
    <row r="333" spans="1:8">
      <c r="A333" s="38"/>
      <c r="H333" s="38"/>
    </row>
    <row r="334" spans="1:8">
      <c r="A334" s="38"/>
      <c r="H334" s="38"/>
    </row>
    <row r="335" spans="1:8">
      <c r="A335" s="38"/>
      <c r="H335" s="38"/>
    </row>
    <row r="336" spans="1:8">
      <c r="A336" s="38"/>
      <c r="H336" s="38"/>
    </row>
    <row r="337" spans="1:8">
      <c r="A337" s="38"/>
      <c r="H337" s="38"/>
    </row>
    <row r="338" spans="1:8">
      <c r="A338" s="38"/>
      <c r="H338" s="38"/>
    </row>
    <row r="339" spans="1:8">
      <c r="A339" s="38"/>
      <c r="H339" s="38"/>
    </row>
    <row r="340" spans="1:8">
      <c r="A340" s="38"/>
      <c r="H340" s="38"/>
    </row>
    <row r="341" spans="1:8">
      <c r="A341" s="38"/>
      <c r="H341" s="38"/>
    </row>
    <row r="342" spans="1:8">
      <c r="A342" s="38"/>
      <c r="H342" s="38"/>
    </row>
    <row r="343" spans="1:8">
      <c r="A343" s="38"/>
      <c r="H343" s="38"/>
    </row>
    <row r="344" spans="1:8">
      <c r="A344" s="38"/>
      <c r="H344" s="38"/>
    </row>
    <row r="345" spans="1:8">
      <c r="A345" s="38"/>
      <c r="H345" s="38"/>
    </row>
    <row r="346" spans="1:8">
      <c r="A346" s="38"/>
      <c r="H346" s="38"/>
    </row>
    <row r="347" spans="1:8">
      <c r="A347" s="38"/>
      <c r="H347" s="38"/>
    </row>
    <row r="348" spans="1:8">
      <c r="A348" s="38"/>
      <c r="H348" s="38"/>
    </row>
    <row r="349" spans="1:8">
      <c r="A349" s="38"/>
      <c r="H349" s="38"/>
    </row>
    <row r="350" spans="1:8">
      <c r="A350" s="38"/>
      <c r="H350" s="38"/>
    </row>
    <row r="351" spans="1:8">
      <c r="A351" s="38"/>
      <c r="H351" s="38"/>
    </row>
    <row r="352" spans="1:8">
      <c r="A352" s="38"/>
      <c r="H352" s="38"/>
    </row>
    <row r="353" spans="1:8">
      <c r="A353" s="38"/>
      <c r="H353" s="38"/>
    </row>
    <row r="354" spans="1:8">
      <c r="A354" s="38"/>
      <c r="H354" s="38"/>
    </row>
    <row r="355" spans="1:8">
      <c r="A355" s="38"/>
      <c r="H355" s="38"/>
    </row>
    <row r="356" spans="1:8">
      <c r="A356" s="38"/>
      <c r="H356" s="38"/>
    </row>
    <row r="357" spans="1:8">
      <c r="A357" s="38"/>
      <c r="H357" s="38"/>
    </row>
    <row r="358" spans="1:8">
      <c r="A358" s="38"/>
      <c r="H358" s="38"/>
    </row>
    <row r="359" spans="1:8">
      <c r="A359" s="38"/>
      <c r="H359" s="38"/>
    </row>
    <row r="360" spans="1:8">
      <c r="A360" s="38"/>
      <c r="H360" s="38"/>
    </row>
    <row r="361" spans="1:8">
      <c r="A361" s="38"/>
      <c r="H361" s="38"/>
    </row>
    <row r="362" spans="1:8">
      <c r="A362" s="38"/>
      <c r="H362" s="38"/>
    </row>
    <row r="363" spans="1:8">
      <c r="A363" s="38"/>
      <c r="H363" s="38"/>
    </row>
    <row r="364" spans="1:8">
      <c r="A364" s="38"/>
      <c r="H364" s="38"/>
    </row>
    <row r="365" spans="1:8">
      <c r="A365" s="38"/>
      <c r="H365" s="38"/>
    </row>
    <row r="366" spans="1:8">
      <c r="A366" s="38"/>
      <c r="H366" s="38"/>
    </row>
    <row r="367" spans="1:8">
      <c r="A367" s="38"/>
      <c r="H367" s="38"/>
    </row>
    <row r="368" spans="1:8">
      <c r="A368" s="38"/>
      <c r="H368" s="38"/>
    </row>
    <row r="369" spans="1:8">
      <c r="A369" s="38"/>
      <c r="H369" s="38"/>
    </row>
    <row r="370" spans="1:8">
      <c r="A370" s="38"/>
      <c r="H370" s="38"/>
    </row>
    <row r="371" spans="1:8">
      <c r="A371" s="38"/>
      <c r="H371" s="38"/>
    </row>
    <row r="372" spans="1:8">
      <c r="A372" s="38"/>
      <c r="H372" s="38"/>
    </row>
    <row r="373" spans="1:8">
      <c r="A373" s="38"/>
      <c r="H373" s="38"/>
    </row>
    <row r="374" spans="1:8">
      <c r="A374" s="38"/>
      <c r="H374" s="38"/>
    </row>
    <row r="375" spans="1:8">
      <c r="A375" s="38"/>
      <c r="H375" s="38"/>
    </row>
    <row r="376" spans="1:8">
      <c r="A376" s="38"/>
      <c r="H376" s="38"/>
    </row>
    <row r="377" spans="1:8">
      <c r="A377" s="38"/>
      <c r="H377" s="38"/>
    </row>
    <row r="378" spans="1:8">
      <c r="A378" s="38"/>
      <c r="H378" s="38"/>
    </row>
    <row r="379" spans="1:8">
      <c r="A379" s="38"/>
      <c r="H379" s="38"/>
    </row>
    <row r="380" spans="1:8">
      <c r="A380" s="38"/>
      <c r="H380" s="38"/>
    </row>
    <row r="381" spans="1:8">
      <c r="A381" s="38"/>
      <c r="H381" s="38"/>
    </row>
    <row r="382" spans="1:8">
      <c r="A382" s="38"/>
      <c r="H382" s="38"/>
    </row>
    <row r="383" spans="1:8">
      <c r="A383" s="38"/>
      <c r="H383" s="38"/>
    </row>
    <row r="384" spans="1:8">
      <c r="A384" s="38"/>
      <c r="H384" s="38"/>
    </row>
    <row r="385" spans="1:8">
      <c r="A385" s="38"/>
      <c r="H385" s="38"/>
    </row>
    <row r="386" spans="1:8">
      <c r="A386" s="38"/>
      <c r="H386" s="38"/>
    </row>
    <row r="387" spans="1:8">
      <c r="A387" s="38"/>
      <c r="H387" s="38"/>
    </row>
    <row r="388" spans="1:8">
      <c r="A388" s="38"/>
      <c r="H388" s="38"/>
    </row>
    <row r="389" spans="1:8">
      <c r="A389" s="38"/>
      <c r="H389" s="38"/>
    </row>
    <row r="390" spans="1:8">
      <c r="A390" s="38"/>
      <c r="H390" s="38"/>
    </row>
    <row r="391" spans="1:8">
      <c r="A391" s="38"/>
      <c r="H391" s="38"/>
    </row>
    <row r="392" spans="1:8">
      <c r="A392" s="38"/>
      <c r="H392" s="38"/>
    </row>
    <row r="393" spans="1:8">
      <c r="A393" s="38"/>
      <c r="H393" s="38"/>
    </row>
    <row r="394" spans="1:8">
      <c r="A394" s="38"/>
      <c r="H394" s="38"/>
    </row>
    <row r="395" spans="1:8">
      <c r="A395" s="38"/>
      <c r="H395" s="38"/>
    </row>
    <row r="396" spans="1:8">
      <c r="A396" s="38"/>
      <c r="H396" s="38"/>
    </row>
    <row r="397" spans="1:8">
      <c r="A397" s="38"/>
      <c r="H397" s="38"/>
    </row>
    <row r="398" spans="1:8">
      <c r="A398" s="38"/>
      <c r="H398" s="38"/>
    </row>
    <row r="399" spans="1:8">
      <c r="A399" s="38"/>
      <c r="H399" s="38"/>
    </row>
    <row r="400" spans="1:8">
      <c r="A400" s="38"/>
      <c r="H400" s="38"/>
    </row>
    <row r="401" spans="1:8">
      <c r="A401" s="38"/>
      <c r="H401" s="38"/>
    </row>
    <row r="402" spans="1:8">
      <c r="A402" s="38"/>
      <c r="H402" s="38"/>
    </row>
    <row r="403" spans="1:8">
      <c r="A403" s="38"/>
      <c r="H403" s="38"/>
    </row>
    <row r="404" spans="1:8">
      <c r="A404" s="38"/>
      <c r="H404" s="38"/>
    </row>
    <row r="405" spans="1:8">
      <c r="A405" s="38"/>
      <c r="H405" s="38"/>
    </row>
    <row r="406" spans="1:8">
      <c r="A406" s="38"/>
      <c r="H406" s="38"/>
    </row>
    <row r="407" spans="1:8">
      <c r="A407" s="38"/>
      <c r="H407" s="38"/>
    </row>
    <row r="408" spans="1:8">
      <c r="A408" s="38"/>
      <c r="H408" s="38"/>
    </row>
    <row r="409" spans="1:8">
      <c r="A409" s="38"/>
      <c r="H409" s="38"/>
    </row>
    <row r="410" spans="1:8">
      <c r="A410" s="38"/>
      <c r="H410" s="38"/>
    </row>
    <row r="411" spans="1:8">
      <c r="A411" s="38"/>
      <c r="H411" s="38"/>
    </row>
    <row r="412" spans="1:8">
      <c r="A412" s="38"/>
      <c r="H412" s="38"/>
    </row>
    <row r="413" spans="1:8">
      <c r="A413" s="38"/>
      <c r="H413" s="38"/>
    </row>
    <row r="414" spans="1:8">
      <c r="A414" s="38"/>
      <c r="H414" s="38"/>
    </row>
    <row r="415" spans="1:8">
      <c r="A415" s="38"/>
      <c r="H415" s="38"/>
    </row>
    <row r="416" spans="1:8">
      <c r="A416" s="38"/>
      <c r="H416" s="38"/>
    </row>
    <row r="417" spans="1:8">
      <c r="A417" s="38"/>
      <c r="H417" s="38"/>
    </row>
    <row r="418" spans="1:8">
      <c r="A418" s="38"/>
      <c r="H418" s="38"/>
    </row>
    <row r="419" spans="1:8">
      <c r="A419" s="38"/>
      <c r="H419" s="38"/>
    </row>
    <row r="420" spans="1:8">
      <c r="A420" s="38"/>
      <c r="H420" s="38"/>
    </row>
    <row r="421" spans="1:8">
      <c r="A421" s="38"/>
      <c r="H421" s="38"/>
    </row>
    <row r="422" spans="1:8">
      <c r="A422" s="38"/>
      <c r="H422" s="38"/>
    </row>
    <row r="423" spans="1:8">
      <c r="A423" s="38"/>
      <c r="H423" s="38"/>
    </row>
    <row r="424" spans="1:8">
      <c r="A424" s="38"/>
      <c r="H424" s="38"/>
    </row>
    <row r="425" spans="1:8">
      <c r="A425" s="38"/>
      <c r="H425" s="38"/>
    </row>
    <row r="426" spans="1:8">
      <c r="A426" s="38"/>
      <c r="H426" s="38"/>
    </row>
    <row r="427" spans="1:8">
      <c r="A427" s="38"/>
      <c r="H427" s="38"/>
    </row>
    <row r="428" spans="1:8">
      <c r="A428" s="38"/>
      <c r="H428" s="38"/>
    </row>
    <row r="429" spans="1:8">
      <c r="A429" s="38"/>
      <c r="H429" s="38"/>
    </row>
    <row r="430" spans="1:8">
      <c r="A430" s="38"/>
      <c r="H430" s="38"/>
    </row>
    <row r="431" spans="1:8">
      <c r="A431" s="38"/>
      <c r="H431" s="38"/>
    </row>
    <row r="432" spans="1:8">
      <c r="A432" s="38"/>
      <c r="H432" s="38"/>
    </row>
    <row r="433" spans="1:8">
      <c r="A433" s="38"/>
      <c r="H433" s="38"/>
    </row>
    <row r="434" spans="1:8">
      <c r="A434" s="38"/>
      <c r="H434" s="38"/>
    </row>
    <row r="435" spans="1:8">
      <c r="A435" s="38"/>
      <c r="H435" s="38"/>
    </row>
    <row r="436" spans="1:8">
      <c r="A436" s="38"/>
      <c r="H436" s="38"/>
    </row>
    <row r="437" spans="1:8">
      <c r="A437" s="38"/>
      <c r="H437" s="38"/>
    </row>
    <row r="438" spans="1:8">
      <c r="A438" s="38"/>
      <c r="H438" s="38"/>
    </row>
    <row r="439" spans="1:8">
      <c r="A439" s="38"/>
      <c r="H439" s="38"/>
    </row>
    <row r="440" spans="1:8">
      <c r="A440" s="38"/>
      <c r="H440" s="38"/>
    </row>
    <row r="441" spans="1:8">
      <c r="A441" s="38"/>
      <c r="H441" s="38"/>
    </row>
    <row r="442" spans="1:8">
      <c r="A442" s="38"/>
      <c r="H442" s="38"/>
    </row>
    <row r="443" spans="1:8">
      <c r="A443" s="38"/>
      <c r="H443" s="38"/>
    </row>
    <row r="444" spans="1:8">
      <c r="A444" s="38"/>
      <c r="H444" s="38"/>
    </row>
    <row r="445" spans="1:8">
      <c r="A445" s="38"/>
      <c r="H445" s="38"/>
    </row>
    <row r="446" spans="1:8">
      <c r="A446" s="38"/>
      <c r="H446" s="38"/>
    </row>
    <row r="447" spans="1:8">
      <c r="A447" s="38"/>
      <c r="H447" s="38"/>
    </row>
    <row r="448" spans="1:8">
      <c r="A448" s="38"/>
      <c r="H448" s="38"/>
    </row>
    <row r="449" spans="1:8">
      <c r="A449" s="38"/>
      <c r="H449" s="38"/>
    </row>
    <row r="450" spans="1:8">
      <c r="A450" s="38"/>
      <c r="H450" s="38"/>
    </row>
    <row r="451" spans="1:8">
      <c r="A451" s="38"/>
      <c r="H451" s="38"/>
    </row>
    <row r="452" spans="1:8">
      <c r="A452" s="38"/>
      <c r="H452" s="38"/>
    </row>
    <row r="453" spans="1:8">
      <c r="A453" s="38"/>
      <c r="H453" s="38"/>
    </row>
    <row r="454" spans="1:8">
      <c r="A454" s="38"/>
      <c r="H454" s="38"/>
    </row>
    <row r="455" spans="1:8">
      <c r="A455" s="38"/>
      <c r="H455" s="38"/>
    </row>
    <row r="456" spans="1:8">
      <c r="A456" s="38"/>
      <c r="H456" s="38"/>
    </row>
    <row r="457" spans="1:8">
      <c r="A457" s="38"/>
      <c r="H457" s="38"/>
    </row>
    <row r="458" spans="1:8">
      <c r="A458" s="38"/>
      <c r="H458" s="38"/>
    </row>
    <row r="459" spans="1:8">
      <c r="A459" s="38"/>
      <c r="H459" s="38"/>
    </row>
    <row r="460" spans="1:8">
      <c r="A460" s="38"/>
      <c r="H460" s="38"/>
    </row>
    <row r="461" spans="1:8">
      <c r="A461" s="38"/>
      <c r="H461" s="38"/>
    </row>
    <row r="462" spans="1:8">
      <c r="A462" s="38"/>
      <c r="H462" s="38"/>
    </row>
    <row r="463" spans="1:8">
      <c r="A463" s="38"/>
      <c r="H463" s="38"/>
    </row>
    <row r="464" spans="1:8">
      <c r="A464" s="38"/>
      <c r="H464" s="38"/>
    </row>
    <row r="465" spans="1:8">
      <c r="A465" s="38"/>
      <c r="H465" s="38"/>
    </row>
    <row r="466" spans="1:8">
      <c r="A466" s="38"/>
      <c r="H466" s="38"/>
    </row>
    <row r="467" spans="1:8">
      <c r="A467" s="38"/>
      <c r="H467" s="38"/>
    </row>
    <row r="468" spans="1:8">
      <c r="A468" s="38"/>
      <c r="H468" s="38"/>
    </row>
    <row r="469" spans="1:8">
      <c r="A469" s="38"/>
      <c r="H469" s="38"/>
    </row>
    <row r="470" spans="1:8">
      <c r="A470" s="38"/>
      <c r="H470" s="38"/>
    </row>
    <row r="471" spans="1:8">
      <c r="A471" s="38"/>
      <c r="H471" s="38"/>
    </row>
    <row r="472" spans="1:8">
      <c r="A472" s="38"/>
      <c r="H472" s="38"/>
    </row>
    <row r="473" spans="1:8">
      <c r="A473" s="38"/>
      <c r="H473" s="38"/>
    </row>
    <row r="474" spans="1:8">
      <c r="A474" s="38"/>
      <c r="H474" s="38"/>
    </row>
    <row r="475" spans="1:8">
      <c r="A475" s="38"/>
      <c r="H475" s="38"/>
    </row>
    <row r="476" spans="1:8">
      <c r="A476" s="38"/>
      <c r="H476" s="38"/>
    </row>
    <row r="477" spans="1:8">
      <c r="A477" s="38"/>
      <c r="H477" s="38"/>
    </row>
    <row r="478" spans="1:8">
      <c r="A478" s="38"/>
      <c r="H478" s="38"/>
    </row>
    <row r="479" spans="1:8">
      <c r="A479" s="38"/>
      <c r="H479" s="38"/>
    </row>
    <row r="480" spans="1:8">
      <c r="A480" s="38"/>
      <c r="H480" s="38"/>
    </row>
    <row r="481" spans="1:8">
      <c r="A481" s="38"/>
      <c r="H481" s="38"/>
    </row>
  </sheetData>
  <mergeCells count="25">
    <mergeCell ref="D159:K159"/>
    <mergeCell ref="D137:K137"/>
    <mergeCell ref="D139:K139"/>
    <mergeCell ref="D142:K142"/>
    <mergeCell ref="D148:K148"/>
    <mergeCell ref="D105:K105"/>
    <mergeCell ref="D114:K114"/>
    <mergeCell ref="D124:K124"/>
    <mergeCell ref="D129:K129"/>
    <mergeCell ref="D132:K132"/>
    <mergeCell ref="D67:K67"/>
    <mergeCell ref="D71:K71"/>
    <mergeCell ref="D82:K82"/>
    <mergeCell ref="D96:K96"/>
    <mergeCell ref="D102:K102"/>
    <mergeCell ref="D40:K40"/>
    <mergeCell ref="D47:K47"/>
    <mergeCell ref="D51:K51"/>
    <mergeCell ref="D59:K59"/>
    <mergeCell ref="D64:K64"/>
    <mergeCell ref="C1:K3"/>
    <mergeCell ref="D13:K13"/>
    <mergeCell ref="D17:K17"/>
    <mergeCell ref="D20:K20"/>
    <mergeCell ref="D26:K26"/>
  </mergeCells>
  <phoneticPr fontId="0" type="noConversion"/>
  <pageMargins left="0.75" right="0.25" top="0.75" bottom="0.25" header="0.5" footer="0.5"/>
  <pageSetup paperSize="9" orientation="portrait" r:id="rId1"/>
  <headerFooter alignWithMargins="0">
    <oddHeader>&amp;RPage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U377"/>
  <sheetViews>
    <sheetView view="pageBreakPreview" topLeftCell="A94" zoomScale="115" zoomScaleSheetLayoutView="115" workbookViewId="0">
      <selection activeCell="C370" sqref="C370"/>
    </sheetView>
  </sheetViews>
  <sheetFormatPr defaultColWidth="17.85546875" defaultRowHeight="15"/>
  <cols>
    <col min="1" max="1" width="4.85546875" style="4" customWidth="1"/>
    <col min="2" max="2" width="23" style="8" customWidth="1"/>
    <col min="3" max="3" width="7.85546875" style="8" customWidth="1"/>
    <col min="4" max="4" width="8.42578125" style="8" customWidth="1"/>
    <col min="5" max="5" width="6.5703125" style="8" customWidth="1"/>
    <col min="6" max="6" width="9.85546875" style="8" customWidth="1"/>
    <col min="7" max="7" width="7" style="8" customWidth="1"/>
    <col min="8" max="8" width="1.28515625" style="8" customWidth="1"/>
    <col min="9" max="9" width="8.7109375" style="3" customWidth="1"/>
    <col min="10" max="10" width="10.5703125" style="9" customWidth="1"/>
    <col min="11" max="11" width="4.85546875" style="10" customWidth="1"/>
    <col min="12" max="250" width="9.140625" style="8" customWidth="1"/>
    <col min="251" max="251" width="5.7109375" style="8" customWidth="1"/>
    <col min="252" max="255" width="9.140625" style="8" hidden="1" customWidth="1"/>
    <col min="256" max="16384" width="17.85546875" style="8"/>
  </cols>
  <sheetData>
    <row r="1" spans="1:11" ht="15" customHeight="1">
      <c r="A1" s="243" t="s">
        <v>3</v>
      </c>
      <c r="B1" s="243"/>
      <c r="C1" s="227" t="s">
        <v>380</v>
      </c>
      <c r="D1" s="227"/>
      <c r="E1" s="227"/>
      <c r="F1" s="227"/>
      <c r="G1" s="227"/>
      <c r="H1" s="227"/>
      <c r="I1" s="227"/>
      <c r="J1" s="227"/>
      <c r="K1" s="227"/>
    </row>
    <row r="2" spans="1:11" ht="15" customHeight="1">
      <c r="C2" s="227"/>
      <c r="D2" s="227"/>
      <c r="E2" s="227"/>
      <c r="F2" s="227"/>
      <c r="G2" s="227"/>
      <c r="H2" s="227"/>
      <c r="I2" s="227"/>
      <c r="J2" s="227"/>
      <c r="K2" s="227"/>
    </row>
    <row r="3" spans="1:11" ht="17.25" customHeight="1">
      <c r="C3" s="227"/>
      <c r="D3" s="227"/>
      <c r="E3" s="227"/>
      <c r="F3" s="227"/>
      <c r="G3" s="227"/>
      <c r="H3" s="227"/>
      <c r="I3" s="227"/>
      <c r="J3" s="227"/>
      <c r="K3" s="227"/>
    </row>
    <row r="4" spans="1:11" ht="15.75">
      <c r="D4" s="11" t="s">
        <v>16</v>
      </c>
      <c r="H4" s="14"/>
    </row>
    <row r="5" spans="1:11" ht="15" customHeight="1">
      <c r="F5" s="11"/>
    </row>
    <row r="6" spans="1:11" ht="15" customHeight="1">
      <c r="A6" s="34" t="s">
        <v>15</v>
      </c>
      <c r="B6" s="244" t="s">
        <v>17</v>
      </c>
      <c r="C6" s="244"/>
      <c r="D6" s="244"/>
      <c r="E6" s="245" t="s">
        <v>18</v>
      </c>
      <c r="F6" s="245"/>
      <c r="G6" s="245"/>
      <c r="H6" s="245"/>
      <c r="I6" s="12"/>
      <c r="J6" s="246" t="s">
        <v>13</v>
      </c>
      <c r="K6" s="246"/>
    </row>
    <row r="7" spans="1:11" ht="15.75">
      <c r="A7" s="7"/>
      <c r="B7" s="35" t="s">
        <v>75</v>
      </c>
      <c r="C7" s="1"/>
    </row>
    <row r="8" spans="1:11" ht="15.75">
      <c r="A8" s="7"/>
      <c r="B8" s="35" t="s">
        <v>49</v>
      </c>
      <c r="C8" s="1"/>
    </row>
    <row r="9" spans="1:11" ht="15.75">
      <c r="A9" s="50">
        <v>1</v>
      </c>
      <c r="B9" s="35" t="s">
        <v>76</v>
      </c>
      <c r="C9" s="38"/>
      <c r="D9" s="117"/>
      <c r="E9" s="117"/>
      <c r="F9" s="117"/>
      <c r="G9" s="117"/>
      <c r="H9" s="117"/>
      <c r="I9" s="41"/>
      <c r="J9" s="118"/>
      <c r="K9" s="119"/>
    </row>
    <row r="10" spans="1:11" ht="15.75">
      <c r="A10" s="50"/>
      <c r="B10" s="35" t="s">
        <v>77</v>
      </c>
      <c r="C10" s="38"/>
      <c r="D10" s="117"/>
      <c r="E10" s="117"/>
      <c r="F10" s="117"/>
      <c r="G10" s="117"/>
      <c r="H10" s="117"/>
      <c r="I10" s="41"/>
      <c r="J10" s="118"/>
      <c r="K10" s="119"/>
    </row>
    <row r="11" spans="1:11" ht="15.75">
      <c r="A11" s="50"/>
      <c r="B11" s="35" t="s">
        <v>78</v>
      </c>
      <c r="C11" s="38"/>
      <c r="D11" s="117"/>
      <c r="E11" s="117" t="s">
        <v>381</v>
      </c>
      <c r="F11" s="117"/>
      <c r="G11" s="117"/>
      <c r="H11" s="117"/>
      <c r="I11" s="41"/>
      <c r="J11" s="118">
        <v>375</v>
      </c>
      <c r="K11" s="119" t="s">
        <v>8</v>
      </c>
    </row>
    <row r="12" spans="1:11" ht="15.75">
      <c r="A12" s="50"/>
      <c r="B12" s="35" t="s">
        <v>78</v>
      </c>
      <c r="C12" s="38"/>
      <c r="D12" s="117"/>
      <c r="E12" s="117" t="s">
        <v>382</v>
      </c>
      <c r="F12" s="117"/>
      <c r="G12" s="117"/>
      <c r="H12" s="117"/>
      <c r="I12" s="41"/>
      <c r="J12" s="118">
        <v>84</v>
      </c>
      <c r="K12" s="119" t="s">
        <v>8</v>
      </c>
    </row>
    <row r="13" spans="1:11" ht="15.75">
      <c r="A13" s="50"/>
      <c r="B13" s="35" t="s">
        <v>79</v>
      </c>
      <c r="C13" s="38"/>
      <c r="D13" s="117"/>
      <c r="E13" s="117" t="s">
        <v>383</v>
      </c>
      <c r="F13" s="117"/>
      <c r="G13" s="117"/>
      <c r="H13" s="117"/>
      <c r="I13" s="41"/>
      <c r="J13" s="118">
        <v>321</v>
      </c>
      <c r="K13" s="119" t="s">
        <v>8</v>
      </c>
    </row>
    <row r="14" spans="1:11" ht="15.75">
      <c r="A14" s="50"/>
      <c r="B14" s="35" t="s">
        <v>79</v>
      </c>
      <c r="C14" s="38"/>
      <c r="D14" s="117"/>
      <c r="E14" s="117" t="s">
        <v>384</v>
      </c>
      <c r="F14" s="117"/>
      <c r="G14" s="117"/>
      <c r="H14" s="117"/>
      <c r="I14" s="41"/>
      <c r="J14" s="118">
        <v>66</v>
      </c>
      <c r="K14" s="119" t="s">
        <v>8</v>
      </c>
    </row>
    <row r="15" spans="1:11" ht="15.75">
      <c r="A15" s="50"/>
      <c r="B15" s="35" t="s">
        <v>72</v>
      </c>
      <c r="C15" s="38"/>
      <c r="D15" s="117"/>
      <c r="E15" s="117" t="s">
        <v>80</v>
      </c>
      <c r="F15" s="117"/>
      <c r="G15" s="117"/>
      <c r="H15" s="117"/>
      <c r="I15" s="41"/>
      <c r="J15" s="118">
        <v>69</v>
      </c>
      <c r="K15" s="119" t="s">
        <v>8</v>
      </c>
    </row>
    <row r="16" spans="1:11" ht="15.75">
      <c r="A16" s="50"/>
      <c r="B16" s="35" t="s">
        <v>79</v>
      </c>
      <c r="C16" s="38"/>
      <c r="D16" s="117"/>
      <c r="E16" s="117" t="s">
        <v>385</v>
      </c>
      <c r="F16" s="117"/>
      <c r="G16" s="117"/>
      <c r="H16" s="117"/>
      <c r="I16" s="41"/>
      <c r="J16" s="118">
        <v>175</v>
      </c>
      <c r="K16" s="119" t="s">
        <v>8</v>
      </c>
    </row>
    <row r="17" spans="1:12" ht="15.75">
      <c r="A17" s="50"/>
      <c r="B17" s="35"/>
      <c r="C17" s="38"/>
      <c r="D17" s="117"/>
      <c r="E17" s="117"/>
      <c r="F17" s="117"/>
      <c r="G17" s="117"/>
      <c r="H17" s="117"/>
      <c r="I17" s="41"/>
      <c r="J17" s="120">
        <f>SUM(J11:J16)</f>
        <v>1090</v>
      </c>
      <c r="K17" s="121" t="s">
        <v>8</v>
      </c>
    </row>
    <row r="18" spans="1:12" ht="15.75">
      <c r="A18" s="50"/>
      <c r="B18" s="35"/>
      <c r="C18" s="38"/>
      <c r="D18" s="117"/>
      <c r="E18" s="117"/>
      <c r="F18" s="117"/>
      <c r="G18" s="117"/>
      <c r="H18" s="117"/>
      <c r="I18" s="41"/>
      <c r="J18" s="118"/>
      <c r="K18" s="119"/>
    </row>
    <row r="19" spans="1:12" ht="15.75">
      <c r="A19" s="50"/>
      <c r="B19" s="35" t="s">
        <v>81</v>
      </c>
      <c r="C19" s="38"/>
      <c r="D19" s="117"/>
      <c r="E19" s="117" t="s">
        <v>386</v>
      </c>
      <c r="F19" s="117"/>
      <c r="G19" s="117"/>
      <c r="H19" s="117"/>
      <c r="I19" s="41"/>
      <c r="J19" s="118">
        <f>1090*1.5</f>
        <v>1635</v>
      </c>
      <c r="K19" s="119" t="s">
        <v>82</v>
      </c>
    </row>
    <row r="20" spans="1:12" ht="15.75">
      <c r="A20" s="50"/>
      <c r="B20" s="35"/>
      <c r="C20" s="38"/>
      <c r="D20" s="117"/>
      <c r="E20" s="117"/>
      <c r="F20" s="117"/>
      <c r="G20" s="117"/>
      <c r="H20" s="117"/>
      <c r="I20" s="41"/>
      <c r="J20" s="118"/>
      <c r="K20" s="119"/>
    </row>
    <row r="21" spans="1:12" ht="15" customHeight="1">
      <c r="A21" s="50"/>
      <c r="B21" s="35" t="s">
        <v>83</v>
      </c>
      <c r="C21" s="38"/>
      <c r="D21" s="117"/>
      <c r="E21" s="117"/>
      <c r="F21" s="117"/>
      <c r="G21" s="117"/>
      <c r="H21" s="117"/>
      <c r="I21" s="41"/>
      <c r="J21" s="118"/>
      <c r="K21" s="119"/>
      <c r="L21" s="13"/>
    </row>
    <row r="22" spans="1:12" ht="15" customHeight="1">
      <c r="A22" s="50"/>
      <c r="B22" s="35" t="s">
        <v>394</v>
      </c>
      <c r="C22" s="38"/>
      <c r="D22" s="117"/>
      <c r="E22" s="117" t="s">
        <v>387</v>
      </c>
      <c r="F22" s="117"/>
      <c r="G22" s="117"/>
      <c r="H22" s="117"/>
      <c r="I22" s="41"/>
      <c r="J22" s="118">
        <v>14</v>
      </c>
      <c r="K22" s="119" t="s">
        <v>8</v>
      </c>
      <c r="L22" s="13"/>
    </row>
    <row r="23" spans="1:12" ht="15" customHeight="1">
      <c r="A23" s="50"/>
      <c r="B23" s="35" t="s">
        <v>395</v>
      </c>
      <c r="C23" s="38"/>
      <c r="D23" s="117"/>
      <c r="E23" s="117" t="s">
        <v>388</v>
      </c>
      <c r="F23" s="117"/>
      <c r="G23" s="117"/>
      <c r="H23" s="117"/>
      <c r="I23" s="41"/>
      <c r="J23" s="118">
        <v>13</v>
      </c>
      <c r="K23" s="119" t="s">
        <v>8</v>
      </c>
      <c r="L23" s="13"/>
    </row>
    <row r="24" spans="1:12" ht="15" customHeight="1">
      <c r="A24" s="50"/>
      <c r="B24" s="35" t="s">
        <v>85</v>
      </c>
      <c r="C24" s="38"/>
      <c r="D24" s="117"/>
      <c r="E24" s="117" t="s">
        <v>389</v>
      </c>
      <c r="F24" s="117"/>
      <c r="G24" s="117"/>
      <c r="H24" s="117"/>
      <c r="I24" s="41"/>
      <c r="J24" s="118">
        <v>29</v>
      </c>
      <c r="K24" s="119" t="s">
        <v>8</v>
      </c>
      <c r="L24" s="13"/>
    </row>
    <row r="25" spans="1:12" ht="15" customHeight="1">
      <c r="A25" s="50"/>
      <c r="B25" s="35" t="s">
        <v>396</v>
      </c>
      <c r="C25" s="38"/>
      <c r="D25" s="117"/>
      <c r="E25" s="117" t="s">
        <v>390</v>
      </c>
      <c r="F25" s="117"/>
      <c r="G25" s="117"/>
      <c r="H25" s="117"/>
      <c r="I25" s="41"/>
      <c r="J25" s="118">
        <v>23</v>
      </c>
      <c r="K25" s="119" t="s">
        <v>8</v>
      </c>
      <c r="L25" s="13"/>
    </row>
    <row r="26" spans="1:12" ht="15" customHeight="1">
      <c r="A26" s="50"/>
      <c r="B26" s="35" t="s">
        <v>396</v>
      </c>
      <c r="C26" s="38"/>
      <c r="D26" s="117"/>
      <c r="E26" s="117" t="s">
        <v>84</v>
      </c>
      <c r="F26" s="117"/>
      <c r="G26" s="117"/>
      <c r="H26" s="117"/>
      <c r="I26" s="41"/>
      <c r="J26" s="118">
        <v>15</v>
      </c>
      <c r="K26" s="119" t="s">
        <v>8</v>
      </c>
      <c r="L26" s="13"/>
    </row>
    <row r="27" spans="1:12" ht="15" customHeight="1">
      <c r="A27" s="50"/>
      <c r="B27" s="35" t="s">
        <v>397</v>
      </c>
      <c r="C27" s="38"/>
      <c r="D27" s="117"/>
      <c r="E27" s="117" t="s">
        <v>84</v>
      </c>
      <c r="F27" s="117"/>
      <c r="G27" s="117"/>
      <c r="H27" s="117"/>
      <c r="I27" s="41"/>
      <c r="J27" s="118">
        <v>15</v>
      </c>
      <c r="K27" s="119" t="s">
        <v>8</v>
      </c>
      <c r="L27" s="13"/>
    </row>
    <row r="28" spans="1:12" ht="15" customHeight="1">
      <c r="A28" s="50"/>
      <c r="B28" s="35" t="s">
        <v>398</v>
      </c>
      <c r="C28" s="38"/>
      <c r="D28" s="117"/>
      <c r="E28" s="117" t="s">
        <v>391</v>
      </c>
      <c r="F28" s="117"/>
      <c r="G28" s="117"/>
      <c r="H28" s="117"/>
      <c r="I28" s="41"/>
      <c r="J28" s="118">
        <v>11</v>
      </c>
      <c r="K28" s="119" t="s">
        <v>8</v>
      </c>
      <c r="L28" s="13"/>
    </row>
    <row r="29" spans="1:12" ht="15" customHeight="1">
      <c r="A29" s="50"/>
      <c r="B29" s="35" t="s">
        <v>392</v>
      </c>
      <c r="C29" s="38"/>
      <c r="D29" s="117"/>
      <c r="E29" s="117" t="s">
        <v>84</v>
      </c>
      <c r="F29" s="117"/>
      <c r="G29" s="117"/>
      <c r="H29" s="117"/>
      <c r="I29" s="41"/>
      <c r="J29" s="118">
        <v>15</v>
      </c>
      <c r="K29" s="119" t="s">
        <v>8</v>
      </c>
      <c r="L29" s="13"/>
    </row>
    <row r="30" spans="1:12" ht="15" customHeight="1">
      <c r="A30" s="50"/>
      <c r="B30" s="35" t="s">
        <v>393</v>
      </c>
      <c r="C30" s="38"/>
      <c r="D30" s="117"/>
      <c r="E30" s="117" t="s">
        <v>84</v>
      </c>
      <c r="F30" s="117"/>
      <c r="G30" s="117"/>
      <c r="H30" s="117"/>
      <c r="I30" s="41"/>
      <c r="J30" s="118">
        <v>15</v>
      </c>
      <c r="K30" s="119" t="s">
        <v>8</v>
      </c>
      <c r="L30" s="13"/>
    </row>
    <row r="31" spans="1:12" ht="15" customHeight="1">
      <c r="A31" s="50"/>
      <c r="B31" s="35"/>
      <c r="C31" s="38"/>
      <c r="D31" s="117"/>
      <c r="E31" s="117"/>
      <c r="F31" s="117"/>
      <c r="G31" s="117"/>
      <c r="H31" s="117"/>
      <c r="I31" s="41"/>
      <c r="J31" s="118">
        <f>SUM(J22:J30)</f>
        <v>150</v>
      </c>
      <c r="K31" s="119" t="s">
        <v>8</v>
      </c>
      <c r="L31" s="13"/>
    </row>
    <row r="32" spans="1:12" ht="15" customHeight="1">
      <c r="A32" s="50"/>
      <c r="B32" s="35"/>
      <c r="C32" s="38"/>
      <c r="D32" s="117"/>
      <c r="E32" s="117"/>
      <c r="F32" s="117"/>
      <c r="G32" s="117"/>
      <c r="H32" s="117"/>
      <c r="I32" s="41"/>
      <c r="J32" s="118"/>
      <c r="K32" s="119"/>
      <c r="L32" s="13"/>
    </row>
    <row r="33" spans="1:12" ht="15" customHeight="1">
      <c r="A33" s="50"/>
      <c r="B33" s="35" t="s">
        <v>86</v>
      </c>
      <c r="C33" s="38"/>
      <c r="D33" s="117"/>
      <c r="E33" s="117" t="s">
        <v>87</v>
      </c>
      <c r="F33" s="117"/>
      <c r="G33" s="117"/>
      <c r="H33" s="117"/>
      <c r="I33" s="41"/>
      <c r="J33" s="118">
        <f>150*1.5</f>
        <v>225</v>
      </c>
      <c r="K33" s="119" t="s">
        <v>82</v>
      </c>
      <c r="L33" s="13"/>
    </row>
    <row r="34" spans="1:12" ht="15" customHeight="1">
      <c r="A34" s="50"/>
      <c r="B34" s="35"/>
      <c r="C34" s="38"/>
      <c r="D34" s="117"/>
      <c r="E34" s="117"/>
      <c r="F34" s="117"/>
      <c r="G34" s="117"/>
      <c r="H34" s="117"/>
      <c r="I34" s="41"/>
      <c r="J34" s="118"/>
      <c r="K34" s="119"/>
      <c r="L34" s="13"/>
    </row>
    <row r="35" spans="1:12" ht="15" customHeight="1">
      <c r="A35" s="50"/>
      <c r="B35" s="35"/>
      <c r="C35" s="38"/>
      <c r="D35" s="117"/>
      <c r="E35" s="117"/>
      <c r="F35" s="117"/>
      <c r="G35" s="117" t="s">
        <v>88</v>
      </c>
      <c r="H35" s="117"/>
      <c r="I35" s="41"/>
      <c r="J35" s="120">
        <f>J19+J33</f>
        <v>1860</v>
      </c>
      <c r="K35" s="121" t="s">
        <v>82</v>
      </c>
      <c r="L35" s="13"/>
    </row>
    <row r="36" spans="1:12" ht="15" customHeight="1">
      <c r="A36" s="50"/>
      <c r="B36" s="35"/>
      <c r="C36" s="38"/>
      <c r="D36" s="117"/>
      <c r="E36" s="117"/>
      <c r="F36" s="117"/>
      <c r="G36" s="117"/>
      <c r="H36" s="117"/>
      <c r="I36" s="41"/>
      <c r="J36" s="118"/>
      <c r="K36" s="119"/>
      <c r="L36" s="13"/>
    </row>
    <row r="37" spans="1:12" ht="15" customHeight="1">
      <c r="A37" s="50">
        <v>2</v>
      </c>
      <c r="B37" s="35" t="s">
        <v>89</v>
      </c>
      <c r="C37" s="38"/>
      <c r="D37" s="117"/>
      <c r="E37" s="117"/>
      <c r="F37" s="117"/>
      <c r="G37" s="117"/>
      <c r="H37" s="117"/>
      <c r="I37" s="41"/>
      <c r="J37" s="118"/>
      <c r="K37" s="119"/>
      <c r="L37" s="13"/>
    </row>
    <row r="38" spans="1:12" ht="15" customHeight="1">
      <c r="A38" s="50"/>
      <c r="B38" s="117" t="s">
        <v>90</v>
      </c>
      <c r="C38" s="38"/>
      <c r="D38" s="117"/>
      <c r="E38" s="8" t="s">
        <v>399</v>
      </c>
      <c r="F38" s="117"/>
      <c r="G38" s="117"/>
      <c r="H38" s="117"/>
      <c r="I38" s="41"/>
      <c r="J38" s="118">
        <f>1090*3.5</f>
        <v>3815</v>
      </c>
      <c r="K38" s="119" t="s">
        <v>82</v>
      </c>
      <c r="L38" s="13"/>
    </row>
    <row r="39" spans="1:12" ht="15" customHeight="1">
      <c r="A39" s="50"/>
      <c r="B39" s="117" t="s">
        <v>91</v>
      </c>
      <c r="C39" s="38"/>
      <c r="D39" s="117"/>
      <c r="E39" s="8" t="s">
        <v>400</v>
      </c>
      <c r="F39" s="117"/>
      <c r="G39" s="117"/>
      <c r="H39" s="117"/>
      <c r="I39" s="41"/>
      <c r="J39" s="118">
        <f>150*2</f>
        <v>300</v>
      </c>
      <c r="K39" s="119" t="s">
        <v>82</v>
      </c>
      <c r="L39" s="13"/>
    </row>
    <row r="40" spans="1:12" ht="15" customHeight="1">
      <c r="A40" s="50"/>
      <c r="B40" s="35"/>
      <c r="C40" s="38"/>
      <c r="D40" s="117"/>
      <c r="E40" s="117"/>
      <c r="F40" s="117"/>
      <c r="G40" s="117"/>
      <c r="H40" s="117"/>
      <c r="I40" s="41"/>
      <c r="J40" s="120">
        <f>SUM(J38:J39)</f>
        <v>4115</v>
      </c>
      <c r="K40" s="121" t="s">
        <v>82</v>
      </c>
      <c r="L40" s="13"/>
    </row>
    <row r="41" spans="1:12" ht="15" customHeight="1">
      <c r="A41" s="50"/>
      <c r="B41" s="35"/>
      <c r="C41" s="38"/>
      <c r="D41" s="117"/>
      <c r="E41" s="117"/>
      <c r="F41" s="117"/>
      <c r="G41" s="117"/>
      <c r="H41" s="117"/>
      <c r="I41" s="41"/>
      <c r="J41" s="118"/>
      <c r="K41" s="119"/>
      <c r="L41" s="13"/>
    </row>
    <row r="42" spans="1:12" ht="15" customHeight="1">
      <c r="A42" s="50">
        <v>3</v>
      </c>
      <c r="B42" s="35" t="s">
        <v>92</v>
      </c>
      <c r="C42" s="38"/>
      <c r="D42" s="117"/>
      <c r="E42" s="117"/>
      <c r="F42" s="117"/>
      <c r="G42" s="117"/>
      <c r="H42" s="117"/>
      <c r="I42" s="41"/>
      <c r="J42" s="118"/>
      <c r="K42" s="119"/>
      <c r="L42" s="13"/>
    </row>
    <row r="43" spans="1:12" ht="15" customHeight="1">
      <c r="A43" s="50"/>
      <c r="B43" s="117" t="s">
        <v>90</v>
      </c>
      <c r="C43" s="38"/>
      <c r="D43" s="117"/>
      <c r="E43" s="8" t="s">
        <v>401</v>
      </c>
      <c r="F43" s="117"/>
      <c r="G43" s="117"/>
      <c r="H43" s="117"/>
      <c r="I43" s="41"/>
      <c r="J43" s="118">
        <f>1090*0.5</f>
        <v>545</v>
      </c>
      <c r="K43" s="119" t="s">
        <v>82</v>
      </c>
      <c r="L43" s="13"/>
    </row>
    <row r="44" spans="1:12" ht="15" customHeight="1">
      <c r="A44" s="50"/>
      <c r="B44" s="117" t="s">
        <v>91</v>
      </c>
      <c r="C44" s="38"/>
      <c r="D44" s="117"/>
      <c r="E44" s="8" t="s">
        <v>402</v>
      </c>
      <c r="F44" s="117"/>
      <c r="G44" s="117"/>
      <c r="H44" s="117"/>
      <c r="I44" s="41"/>
      <c r="J44" s="118">
        <f>150*0.5</f>
        <v>75</v>
      </c>
      <c r="K44" s="119" t="s">
        <v>82</v>
      </c>
      <c r="L44" s="13"/>
    </row>
    <row r="45" spans="1:12" ht="15" customHeight="1">
      <c r="A45" s="50"/>
      <c r="B45" s="35"/>
      <c r="C45" s="38"/>
      <c r="D45" s="117"/>
      <c r="E45" s="117"/>
      <c r="F45" s="117"/>
      <c r="G45" s="117"/>
      <c r="H45" s="117"/>
      <c r="I45" s="41"/>
      <c r="J45" s="120">
        <f>SUM(J43:J44)</f>
        <v>620</v>
      </c>
      <c r="K45" s="121" t="s">
        <v>82</v>
      </c>
      <c r="L45" s="13"/>
    </row>
    <row r="46" spans="1:12" ht="15" customHeight="1">
      <c r="A46" s="50"/>
      <c r="B46" s="35"/>
      <c r="C46" s="38"/>
      <c r="D46" s="117"/>
      <c r="E46" s="117"/>
      <c r="F46" s="117"/>
      <c r="G46" s="117"/>
      <c r="H46" s="117"/>
      <c r="I46" s="41"/>
      <c r="J46" s="118"/>
      <c r="K46" s="119"/>
      <c r="L46" s="13"/>
    </row>
    <row r="47" spans="1:12" ht="15" customHeight="1">
      <c r="A47" s="50">
        <v>4</v>
      </c>
      <c r="B47" s="35" t="s">
        <v>93</v>
      </c>
      <c r="C47" s="38"/>
      <c r="D47" s="117"/>
      <c r="E47" s="117"/>
      <c r="F47" s="117"/>
      <c r="G47" s="117"/>
      <c r="H47" s="117"/>
      <c r="I47" s="41"/>
      <c r="J47" s="118"/>
      <c r="K47" s="119"/>
      <c r="L47" s="13"/>
    </row>
    <row r="48" spans="1:12" ht="15" customHeight="1">
      <c r="A48" s="50"/>
      <c r="B48" s="35" t="s">
        <v>94</v>
      </c>
      <c r="C48" s="38"/>
      <c r="D48" s="117"/>
      <c r="E48" s="117" t="s">
        <v>403</v>
      </c>
      <c r="F48" s="117"/>
      <c r="G48" s="117"/>
      <c r="H48" s="117"/>
      <c r="I48" s="41"/>
      <c r="J48" s="122">
        <f>1*14.5*0.67*4</f>
        <v>38.86</v>
      </c>
      <c r="K48" s="119" t="s">
        <v>82</v>
      </c>
      <c r="L48" s="13"/>
    </row>
    <row r="49" spans="1:12" ht="15" customHeight="1">
      <c r="A49" s="50"/>
      <c r="B49" s="35" t="s">
        <v>415</v>
      </c>
      <c r="C49" s="38"/>
      <c r="D49" s="117"/>
      <c r="E49" s="117" t="s">
        <v>404</v>
      </c>
      <c r="F49" s="117"/>
      <c r="G49" s="117"/>
      <c r="H49" s="117"/>
      <c r="I49" s="41"/>
      <c r="J49" s="122">
        <f>1*7*0.67*4</f>
        <v>18.760000000000002</v>
      </c>
      <c r="K49" s="119" t="s">
        <v>82</v>
      </c>
      <c r="L49" s="13"/>
    </row>
    <row r="50" spans="1:12" ht="15" customHeight="1">
      <c r="A50" s="50"/>
      <c r="B50" s="35" t="s">
        <v>416</v>
      </c>
      <c r="C50" s="38"/>
      <c r="D50" s="117"/>
      <c r="E50" s="117" t="s">
        <v>405</v>
      </c>
      <c r="F50" s="117"/>
      <c r="G50" s="117"/>
      <c r="H50" s="117"/>
      <c r="I50" s="41"/>
      <c r="J50" s="122">
        <f>1*12*0.67*4</f>
        <v>32.160000000000004</v>
      </c>
      <c r="K50" s="119" t="s">
        <v>82</v>
      </c>
      <c r="L50" s="13"/>
    </row>
    <row r="51" spans="1:12" ht="15" customHeight="1">
      <c r="A51" s="50"/>
      <c r="B51" s="35" t="s">
        <v>417</v>
      </c>
      <c r="C51" s="38"/>
      <c r="D51" s="117"/>
      <c r="E51" s="117" t="s">
        <v>406</v>
      </c>
      <c r="F51" s="117"/>
      <c r="G51" s="117"/>
      <c r="H51" s="117"/>
      <c r="I51" s="41"/>
      <c r="J51" s="122">
        <f>1*6.5*0.67*4</f>
        <v>17.420000000000002</v>
      </c>
      <c r="K51" s="119" t="s">
        <v>82</v>
      </c>
      <c r="L51" s="13"/>
    </row>
    <row r="52" spans="1:12" ht="15" customHeight="1">
      <c r="A52" s="50"/>
      <c r="B52" s="35" t="s">
        <v>95</v>
      </c>
      <c r="C52" s="38"/>
      <c r="D52" s="117"/>
      <c r="E52" s="117" t="s">
        <v>403</v>
      </c>
      <c r="F52" s="117"/>
      <c r="G52" s="117"/>
      <c r="H52" s="117"/>
      <c r="I52" s="41"/>
      <c r="J52" s="122">
        <f>1*14.5*0.67*4</f>
        <v>38.86</v>
      </c>
      <c r="K52" s="119" t="s">
        <v>82</v>
      </c>
      <c r="L52" s="13"/>
    </row>
    <row r="53" spans="1:12" ht="15" customHeight="1">
      <c r="A53" s="50"/>
      <c r="B53" s="35" t="s">
        <v>418</v>
      </c>
      <c r="C53" s="38"/>
      <c r="D53" s="117"/>
      <c r="E53" s="117" t="s">
        <v>407</v>
      </c>
      <c r="F53" s="117"/>
      <c r="G53" s="117"/>
      <c r="H53" s="117"/>
      <c r="I53" s="41"/>
      <c r="J53" s="122">
        <f>1*5.83*0.67*4</f>
        <v>15.624400000000001</v>
      </c>
      <c r="K53" s="119" t="s">
        <v>82</v>
      </c>
      <c r="L53" s="13"/>
    </row>
    <row r="54" spans="1:12" ht="15" customHeight="1">
      <c r="A54" s="50"/>
      <c r="B54" s="33" t="s">
        <v>419</v>
      </c>
      <c r="C54" s="38"/>
      <c r="D54" s="117"/>
      <c r="E54" s="117" t="s">
        <v>408</v>
      </c>
      <c r="F54" s="117"/>
      <c r="G54" s="117"/>
      <c r="H54" s="117"/>
      <c r="I54" s="41"/>
      <c r="J54" s="122">
        <f>1*13.83*0.67*4</f>
        <v>37.064399999999999</v>
      </c>
      <c r="K54" s="119" t="s">
        <v>82</v>
      </c>
      <c r="L54" s="13"/>
    </row>
    <row r="55" spans="1:12" ht="15" customHeight="1">
      <c r="A55" s="50"/>
      <c r="B55" s="33" t="s">
        <v>420</v>
      </c>
      <c r="C55" s="38"/>
      <c r="D55" s="117"/>
      <c r="E55" s="117" t="s">
        <v>409</v>
      </c>
      <c r="F55" s="117"/>
      <c r="G55" s="117"/>
      <c r="H55" s="117"/>
      <c r="I55" s="41"/>
      <c r="J55" s="122">
        <f>1*9.5*0.67*4</f>
        <v>25.46</v>
      </c>
      <c r="K55" s="119" t="s">
        <v>82</v>
      </c>
      <c r="L55" s="13"/>
    </row>
    <row r="56" spans="1:12" ht="15" customHeight="1">
      <c r="A56" s="50"/>
      <c r="B56" s="33" t="s">
        <v>96</v>
      </c>
      <c r="C56" s="38"/>
      <c r="D56" s="117"/>
      <c r="E56" s="117" t="s">
        <v>410</v>
      </c>
      <c r="F56" s="117"/>
      <c r="G56" s="117"/>
      <c r="H56" s="117"/>
      <c r="I56" s="41"/>
      <c r="J56" s="122">
        <f>1*11.83*0.67*4</f>
        <v>31.704400000000003</v>
      </c>
      <c r="K56" s="119" t="s">
        <v>82</v>
      </c>
      <c r="L56" s="13"/>
    </row>
    <row r="57" spans="1:12" ht="15" customHeight="1">
      <c r="A57" s="50"/>
      <c r="B57" s="8" t="s">
        <v>421</v>
      </c>
      <c r="C57" s="38"/>
      <c r="D57" s="117"/>
      <c r="E57" s="117" t="s">
        <v>410</v>
      </c>
      <c r="F57" s="117"/>
      <c r="G57" s="117"/>
      <c r="H57" s="117"/>
      <c r="I57" s="41"/>
      <c r="J57" s="122">
        <f>1*11.83*0.67*4</f>
        <v>31.704400000000003</v>
      </c>
      <c r="K57" s="119" t="s">
        <v>82</v>
      </c>
      <c r="L57" s="13"/>
    </row>
    <row r="58" spans="1:12" ht="15" customHeight="1">
      <c r="A58" s="50"/>
      <c r="B58" s="33" t="s">
        <v>392</v>
      </c>
      <c r="C58" s="38"/>
      <c r="D58" s="117"/>
      <c r="E58" s="117" t="s">
        <v>411</v>
      </c>
      <c r="F58" s="117"/>
      <c r="G58" s="117"/>
      <c r="H58" s="117"/>
      <c r="I58" s="41"/>
      <c r="J58" s="122">
        <f>1*8.5*0.67*4</f>
        <v>22.78</v>
      </c>
      <c r="K58" s="119" t="s">
        <v>82</v>
      </c>
      <c r="L58" s="13"/>
    </row>
    <row r="59" spans="1:12" ht="15" customHeight="1">
      <c r="A59" s="50"/>
      <c r="B59" s="33" t="s">
        <v>422</v>
      </c>
      <c r="C59" s="38"/>
      <c r="D59" s="117"/>
      <c r="E59" s="117" t="s">
        <v>409</v>
      </c>
      <c r="F59" s="117"/>
      <c r="G59" s="117"/>
      <c r="H59" s="117"/>
      <c r="I59" s="41"/>
      <c r="J59" s="122">
        <f>1*9.5*0.67*4</f>
        <v>25.46</v>
      </c>
      <c r="K59" s="119" t="s">
        <v>82</v>
      </c>
      <c r="L59" s="13"/>
    </row>
    <row r="60" spans="1:12" ht="15" customHeight="1">
      <c r="A60" s="50"/>
      <c r="B60" s="33" t="s">
        <v>423</v>
      </c>
      <c r="C60" s="38"/>
      <c r="D60" s="117"/>
      <c r="E60" s="117" t="s">
        <v>412</v>
      </c>
      <c r="F60" s="117"/>
      <c r="G60" s="117"/>
      <c r="H60" s="117"/>
      <c r="I60" s="41"/>
      <c r="J60" s="122">
        <f>1*9*0.67*4</f>
        <v>24.12</v>
      </c>
      <c r="K60" s="119" t="s">
        <v>82</v>
      </c>
      <c r="L60" s="13"/>
    </row>
    <row r="61" spans="1:12" ht="15" customHeight="1">
      <c r="A61" s="50"/>
      <c r="B61" s="33" t="s">
        <v>424</v>
      </c>
      <c r="C61" s="38"/>
      <c r="D61" s="117"/>
      <c r="E61" s="117" t="s">
        <v>413</v>
      </c>
      <c r="F61" s="117"/>
      <c r="G61" s="117"/>
      <c r="H61" s="117"/>
      <c r="I61" s="41"/>
      <c r="J61" s="122">
        <f>1*10.33*0.67*4</f>
        <v>27.6844</v>
      </c>
      <c r="K61" s="119" t="s">
        <v>82</v>
      </c>
      <c r="L61" s="13"/>
    </row>
    <row r="62" spans="1:12" ht="15" customHeight="1">
      <c r="A62" s="50"/>
      <c r="B62" s="33" t="s">
        <v>425</v>
      </c>
      <c r="C62" s="38"/>
      <c r="D62" s="117"/>
      <c r="E62" s="117" t="s">
        <v>414</v>
      </c>
      <c r="F62" s="117"/>
      <c r="G62" s="117"/>
      <c r="H62" s="117"/>
      <c r="I62" s="41"/>
      <c r="J62" s="122">
        <f>1*10.5*0.67*4</f>
        <v>28.14</v>
      </c>
      <c r="K62" s="119" t="s">
        <v>82</v>
      </c>
      <c r="L62" s="13"/>
    </row>
    <row r="63" spans="1:12" ht="15" customHeight="1">
      <c r="A63" s="50"/>
      <c r="B63" s="33"/>
      <c r="C63" s="38"/>
      <c r="D63" s="117"/>
      <c r="E63" s="117"/>
      <c r="F63" s="117"/>
      <c r="G63" s="117"/>
      <c r="H63" s="117"/>
      <c r="I63" s="41"/>
      <c r="J63" s="120">
        <f>SUM(J48:J62)</f>
        <v>415.80199999999996</v>
      </c>
      <c r="K63" s="121" t="s">
        <v>82</v>
      </c>
      <c r="L63" s="13"/>
    </row>
    <row r="64" spans="1:12" ht="15" customHeight="1">
      <c r="A64" s="50"/>
      <c r="B64" s="33"/>
      <c r="C64" s="38"/>
      <c r="D64" s="117"/>
      <c r="E64" s="117"/>
      <c r="F64" s="117"/>
      <c r="G64" s="117"/>
      <c r="H64" s="117"/>
      <c r="I64" s="41"/>
      <c r="J64" s="118"/>
      <c r="K64" s="119"/>
      <c r="L64" s="13"/>
    </row>
    <row r="65" spans="1:12" ht="15" customHeight="1">
      <c r="A65" s="50">
        <v>5</v>
      </c>
      <c r="B65" s="33" t="s">
        <v>99</v>
      </c>
      <c r="C65" s="38"/>
      <c r="D65" s="117"/>
      <c r="E65" s="117"/>
      <c r="F65" s="117"/>
      <c r="G65" s="117"/>
      <c r="H65" s="117"/>
      <c r="I65" s="41"/>
      <c r="J65" s="118"/>
      <c r="K65" s="119"/>
      <c r="L65" s="13"/>
    </row>
    <row r="66" spans="1:12" ht="15" customHeight="1">
      <c r="A66" s="50"/>
      <c r="B66" s="33" t="s">
        <v>100</v>
      </c>
      <c r="C66" s="38"/>
      <c r="D66" s="117"/>
      <c r="E66" s="117" t="s">
        <v>426</v>
      </c>
      <c r="F66" s="117"/>
      <c r="G66" s="117"/>
      <c r="H66" s="117"/>
      <c r="I66" s="41"/>
      <c r="J66" s="118">
        <v>551</v>
      </c>
      <c r="K66" s="119" t="s">
        <v>82</v>
      </c>
      <c r="L66" s="13"/>
    </row>
    <row r="67" spans="1:12" ht="15" customHeight="1">
      <c r="A67" s="50"/>
      <c r="B67" s="33" t="s">
        <v>78</v>
      </c>
      <c r="C67" s="38"/>
      <c r="D67" s="117"/>
      <c r="E67" s="117" t="s">
        <v>427</v>
      </c>
      <c r="F67" s="117"/>
      <c r="G67" s="117"/>
      <c r="H67" s="117"/>
      <c r="I67" s="41"/>
      <c r="J67" s="118">
        <v>116</v>
      </c>
      <c r="K67" s="119" t="s">
        <v>82</v>
      </c>
      <c r="L67" s="13"/>
    </row>
    <row r="68" spans="1:12" ht="15" customHeight="1">
      <c r="A68" s="50"/>
      <c r="B68" s="33" t="s">
        <v>78</v>
      </c>
      <c r="C68" s="38"/>
      <c r="D68" s="117"/>
      <c r="E68" s="117" t="s">
        <v>428</v>
      </c>
      <c r="F68" s="117"/>
      <c r="G68" s="117"/>
      <c r="H68" s="117"/>
      <c r="I68" s="41"/>
      <c r="J68" s="118">
        <v>394</v>
      </c>
      <c r="K68" s="119" t="s">
        <v>82</v>
      </c>
      <c r="L68" s="13"/>
    </row>
    <row r="69" spans="1:12" ht="15" customHeight="1">
      <c r="A69" s="50"/>
      <c r="B69" s="33" t="s">
        <v>79</v>
      </c>
      <c r="C69" s="38"/>
      <c r="D69" s="117"/>
      <c r="E69" s="117" t="s">
        <v>429</v>
      </c>
      <c r="F69" s="117"/>
      <c r="G69" s="117"/>
      <c r="H69" s="117"/>
      <c r="I69" s="41"/>
      <c r="J69" s="118">
        <v>75</v>
      </c>
      <c r="K69" s="119" t="s">
        <v>82</v>
      </c>
      <c r="L69" s="13"/>
    </row>
    <row r="70" spans="1:12" ht="15" customHeight="1">
      <c r="A70" s="50"/>
      <c r="B70" s="33" t="s">
        <v>79</v>
      </c>
      <c r="C70" s="38"/>
      <c r="D70" s="117"/>
      <c r="E70" s="117" t="s">
        <v>430</v>
      </c>
      <c r="F70" s="117"/>
      <c r="G70" s="117"/>
      <c r="H70" s="117"/>
      <c r="I70" s="41"/>
      <c r="J70" s="118">
        <v>79</v>
      </c>
      <c r="K70" s="119" t="s">
        <v>82</v>
      </c>
      <c r="L70" s="13"/>
    </row>
    <row r="71" spans="1:12" ht="15" customHeight="1">
      <c r="A71" s="50"/>
      <c r="B71" s="33" t="s">
        <v>434</v>
      </c>
      <c r="C71" s="38"/>
      <c r="D71" s="117"/>
      <c r="E71" s="117" t="s">
        <v>431</v>
      </c>
      <c r="F71" s="117"/>
      <c r="G71" s="117"/>
      <c r="H71" s="117"/>
      <c r="I71" s="41"/>
      <c r="J71" s="118">
        <v>198</v>
      </c>
      <c r="K71" s="119" t="s">
        <v>82</v>
      </c>
      <c r="L71" s="13"/>
    </row>
    <row r="72" spans="1:12" ht="15" customHeight="1">
      <c r="A72" s="50"/>
      <c r="B72" s="33" t="s">
        <v>435</v>
      </c>
      <c r="C72" s="38"/>
      <c r="D72" s="117"/>
      <c r="E72" s="117" t="s">
        <v>432</v>
      </c>
      <c r="F72" s="117"/>
      <c r="G72" s="117"/>
      <c r="H72" s="117"/>
      <c r="I72" s="41"/>
      <c r="J72" s="118">
        <v>40</v>
      </c>
      <c r="K72" s="119" t="s">
        <v>82</v>
      </c>
      <c r="L72" s="13"/>
    </row>
    <row r="73" spans="1:12" ht="15" customHeight="1">
      <c r="A73" s="50"/>
      <c r="B73" s="33" t="s">
        <v>435</v>
      </c>
      <c r="C73" s="38"/>
      <c r="D73" s="117"/>
      <c r="E73" s="117" t="s">
        <v>433</v>
      </c>
      <c r="F73" s="117"/>
      <c r="G73" s="117"/>
      <c r="H73" s="117"/>
      <c r="I73" s="41"/>
      <c r="J73" s="118">
        <v>70</v>
      </c>
      <c r="K73" s="119" t="s">
        <v>82</v>
      </c>
      <c r="L73" s="13"/>
    </row>
    <row r="74" spans="1:12" ht="15" customHeight="1">
      <c r="A74" s="50"/>
      <c r="B74" s="33"/>
      <c r="C74" s="38"/>
      <c r="D74" s="117"/>
      <c r="E74" s="117"/>
      <c r="F74" s="117"/>
      <c r="G74" s="117"/>
      <c r="H74" s="117"/>
      <c r="I74" s="41"/>
      <c r="J74" s="120">
        <f>SUM(J66:J73)</f>
        <v>1523</v>
      </c>
      <c r="K74" s="121" t="s">
        <v>82</v>
      </c>
      <c r="L74" s="13"/>
    </row>
    <row r="75" spans="1:12" ht="15" customHeight="1">
      <c r="A75" s="50"/>
      <c r="B75" s="33"/>
      <c r="C75" s="38"/>
      <c r="D75" s="117"/>
      <c r="E75" s="117"/>
      <c r="F75" s="117"/>
      <c r="G75" s="117"/>
      <c r="H75" s="117"/>
      <c r="I75" s="41"/>
      <c r="J75" s="118"/>
      <c r="K75" s="119"/>
      <c r="L75" s="13"/>
    </row>
    <row r="76" spans="1:12" ht="15" customHeight="1">
      <c r="A76" s="50"/>
      <c r="B76" s="33" t="s">
        <v>101</v>
      </c>
      <c r="C76" s="38"/>
      <c r="D76" s="117"/>
      <c r="E76" s="117" t="s">
        <v>436</v>
      </c>
      <c r="F76" s="117"/>
      <c r="G76" s="117"/>
      <c r="H76" s="117"/>
      <c r="I76" s="41"/>
      <c r="J76" s="118">
        <f>4*15.83*0.67*2</f>
        <v>84.848800000000011</v>
      </c>
      <c r="K76" s="119" t="s">
        <v>82</v>
      </c>
    </row>
    <row r="77" spans="1:12" ht="15" customHeight="1">
      <c r="A77" s="50"/>
      <c r="B77" s="33" t="s">
        <v>102</v>
      </c>
      <c r="C77" s="38"/>
      <c r="D77" s="117"/>
      <c r="E77" s="117" t="s">
        <v>437</v>
      </c>
      <c r="F77" s="117"/>
      <c r="G77" s="117"/>
      <c r="H77" s="117"/>
      <c r="I77" s="41"/>
      <c r="J77" s="118">
        <f>1*14.83*0.67*2</f>
        <v>19.872200000000003</v>
      </c>
      <c r="K77" s="119" t="s">
        <v>82</v>
      </c>
    </row>
    <row r="78" spans="1:12" ht="15" customHeight="1">
      <c r="A78" s="50"/>
      <c r="B78" s="33" t="s">
        <v>103</v>
      </c>
      <c r="C78" s="38"/>
      <c r="D78" s="117"/>
      <c r="E78" s="117" t="s">
        <v>438</v>
      </c>
      <c r="F78" s="117"/>
      <c r="G78" s="117"/>
      <c r="H78" s="117"/>
      <c r="I78" s="41"/>
      <c r="J78" s="118">
        <f>1*30.33*0.67*2</f>
        <v>40.642200000000003</v>
      </c>
      <c r="K78" s="119" t="s">
        <v>82</v>
      </c>
    </row>
    <row r="79" spans="1:12" ht="15" customHeight="1">
      <c r="A79" s="50"/>
      <c r="B79" s="33" t="s">
        <v>104</v>
      </c>
      <c r="C79" s="38"/>
      <c r="D79" s="117"/>
      <c r="E79" s="117" t="s">
        <v>439</v>
      </c>
      <c r="F79" s="117"/>
      <c r="G79" s="117"/>
      <c r="H79" s="117"/>
      <c r="I79" s="41"/>
      <c r="J79" s="118">
        <f>1*13.83*0.67*2</f>
        <v>18.5322</v>
      </c>
      <c r="K79" s="119" t="s">
        <v>82</v>
      </c>
    </row>
    <row r="80" spans="1:12" ht="15" customHeight="1">
      <c r="A80" s="50"/>
      <c r="B80" s="33" t="s">
        <v>105</v>
      </c>
      <c r="C80" s="38"/>
      <c r="D80" s="117"/>
      <c r="E80" s="117" t="s">
        <v>440</v>
      </c>
      <c r="F80" s="117"/>
      <c r="G80" s="117"/>
      <c r="H80" s="117"/>
      <c r="I80" s="41"/>
      <c r="J80" s="118">
        <f>1*21.83*0.67*2</f>
        <v>29.252199999999998</v>
      </c>
      <c r="K80" s="119" t="s">
        <v>82</v>
      </c>
    </row>
    <row r="81" spans="1:11" ht="15" customHeight="1">
      <c r="A81" s="50"/>
      <c r="B81" s="33" t="s">
        <v>106</v>
      </c>
      <c r="C81" s="38"/>
      <c r="D81" s="117"/>
      <c r="E81" s="117" t="s">
        <v>441</v>
      </c>
      <c r="F81" s="117"/>
      <c r="G81" s="117"/>
      <c r="H81" s="117"/>
      <c r="I81" s="41"/>
      <c r="J81" s="118">
        <f>1*10.83*0.67*2</f>
        <v>14.512200000000002</v>
      </c>
      <c r="K81" s="119" t="s">
        <v>82</v>
      </c>
    </row>
    <row r="82" spans="1:11" ht="15" customHeight="1">
      <c r="A82" s="50"/>
      <c r="B82" s="33" t="s">
        <v>107</v>
      </c>
      <c r="C82" s="38"/>
      <c r="D82" s="117"/>
      <c r="E82" s="117" t="s">
        <v>442</v>
      </c>
      <c r="F82" s="117"/>
      <c r="G82" s="117"/>
      <c r="H82" s="117"/>
      <c r="I82" s="41"/>
      <c r="J82" s="118">
        <f>3*11.83*0.67*2</f>
        <v>47.556600000000003</v>
      </c>
      <c r="K82" s="119" t="s">
        <v>82</v>
      </c>
    </row>
    <row r="83" spans="1:11" ht="15" customHeight="1">
      <c r="A83" s="50"/>
      <c r="B83" s="33" t="s">
        <v>108</v>
      </c>
      <c r="C83" s="38"/>
      <c r="D83" s="117"/>
      <c r="E83" s="117" t="s">
        <v>443</v>
      </c>
      <c r="F83" s="117"/>
      <c r="G83" s="117"/>
      <c r="H83" s="117"/>
      <c r="I83" s="41"/>
      <c r="J83" s="118">
        <f>1*33.17*0.67*2</f>
        <v>44.447800000000008</v>
      </c>
      <c r="K83" s="119" t="s">
        <v>82</v>
      </c>
    </row>
    <row r="84" spans="1:11" ht="15" customHeight="1">
      <c r="A84" s="50"/>
      <c r="B84" s="33" t="s">
        <v>109</v>
      </c>
      <c r="C84" s="38"/>
      <c r="D84" s="117"/>
      <c r="E84" s="117" t="s">
        <v>444</v>
      </c>
      <c r="F84" s="117"/>
      <c r="G84" s="117"/>
      <c r="H84" s="117"/>
      <c r="I84" s="41"/>
      <c r="J84" s="118">
        <f>1*20*0.67*2</f>
        <v>26.8</v>
      </c>
      <c r="K84" s="119" t="s">
        <v>82</v>
      </c>
    </row>
    <row r="85" spans="1:11" ht="15" customHeight="1">
      <c r="A85" s="50"/>
      <c r="B85" s="33" t="s">
        <v>110</v>
      </c>
      <c r="C85" s="38"/>
      <c r="D85" s="117"/>
      <c r="E85" s="117" t="s">
        <v>445</v>
      </c>
      <c r="F85" s="117"/>
      <c r="G85" s="117"/>
      <c r="H85" s="117"/>
      <c r="I85" s="41"/>
      <c r="J85" s="118">
        <f>1*23.67*0.67*2</f>
        <v>31.717800000000004</v>
      </c>
      <c r="K85" s="119" t="s">
        <v>82</v>
      </c>
    </row>
    <row r="86" spans="1:11" ht="15" customHeight="1">
      <c r="A86" s="50"/>
      <c r="B86" s="33"/>
      <c r="C86" s="38"/>
      <c r="D86" s="117"/>
      <c r="E86" s="117"/>
      <c r="F86" s="117"/>
      <c r="G86" s="117"/>
      <c r="H86" s="117"/>
      <c r="I86" s="41"/>
      <c r="J86" s="118">
        <f>SUM(J76:J85)</f>
        <v>358.18200000000002</v>
      </c>
      <c r="K86" s="119" t="s">
        <v>82</v>
      </c>
    </row>
    <row r="87" spans="1:11" ht="15" customHeight="1">
      <c r="A87" s="50"/>
      <c r="B87" s="33"/>
      <c r="C87" s="38"/>
      <c r="D87" s="117"/>
      <c r="E87" s="117"/>
      <c r="F87" s="117"/>
      <c r="G87" s="117"/>
      <c r="H87" s="117"/>
      <c r="I87" s="41"/>
      <c r="J87" s="118"/>
      <c r="K87" s="119"/>
    </row>
    <row r="88" spans="1:11" ht="15" customHeight="1">
      <c r="A88" s="50"/>
      <c r="B88" s="33"/>
      <c r="C88" s="38"/>
      <c r="D88" s="117"/>
      <c r="E88" s="117"/>
      <c r="F88" s="117"/>
      <c r="G88" s="117"/>
      <c r="H88" s="117"/>
      <c r="I88" s="41" t="s">
        <v>88</v>
      </c>
      <c r="J88" s="118">
        <f>J74+J86</f>
        <v>1881.182</v>
      </c>
      <c r="K88" s="119" t="s">
        <v>82</v>
      </c>
    </row>
    <row r="89" spans="1:11" ht="15" customHeight="1">
      <c r="A89" s="50"/>
      <c r="B89" s="33"/>
      <c r="C89" s="38"/>
      <c r="D89" s="117"/>
      <c r="E89" s="117"/>
      <c r="F89" s="117"/>
      <c r="G89" s="117"/>
      <c r="H89" s="117"/>
      <c r="I89" s="41"/>
      <c r="J89" s="118"/>
      <c r="K89" s="119"/>
    </row>
    <row r="90" spans="1:11" ht="15" customHeight="1">
      <c r="A90" s="50">
        <v>6</v>
      </c>
      <c r="B90" s="33" t="s">
        <v>111</v>
      </c>
      <c r="C90" s="38"/>
      <c r="D90" s="117"/>
      <c r="E90" s="117"/>
      <c r="F90" s="117"/>
      <c r="G90" s="117"/>
      <c r="H90" s="117"/>
      <c r="I90" s="41"/>
      <c r="J90" s="118"/>
      <c r="K90" s="119"/>
    </row>
    <row r="91" spans="1:11" ht="15" customHeight="1">
      <c r="A91" s="50"/>
      <c r="B91" s="33"/>
      <c r="C91" s="38"/>
      <c r="D91" s="117"/>
      <c r="E91" s="117" t="s">
        <v>112</v>
      </c>
      <c r="F91" s="117"/>
      <c r="G91" s="117"/>
      <c r="H91" s="117"/>
      <c r="I91" s="41"/>
      <c r="J91" s="118">
        <f>'Bar Bending Schedule'!J52</f>
        <v>164.62026785714286</v>
      </c>
      <c r="K91" s="119" t="s">
        <v>253</v>
      </c>
    </row>
    <row r="92" spans="1:11" ht="15" customHeight="1">
      <c r="A92" s="50"/>
      <c r="B92" s="33"/>
      <c r="C92" s="38"/>
      <c r="D92" s="117"/>
      <c r="E92" s="117"/>
      <c r="F92" s="117"/>
      <c r="G92" s="117"/>
      <c r="H92" s="117"/>
      <c r="I92" s="41"/>
      <c r="J92" s="118"/>
      <c r="K92" s="119"/>
    </row>
    <row r="93" spans="1:11" ht="15" customHeight="1">
      <c r="A93" s="50">
        <v>7</v>
      </c>
      <c r="B93" s="33" t="s">
        <v>113</v>
      </c>
      <c r="C93" s="38"/>
      <c r="D93" s="117"/>
      <c r="E93" s="117"/>
      <c r="F93" s="117"/>
      <c r="G93" s="117"/>
      <c r="H93" s="117"/>
      <c r="I93" s="41"/>
      <c r="J93" s="118"/>
      <c r="K93" s="119"/>
    </row>
    <row r="94" spans="1:11" ht="15" customHeight="1">
      <c r="A94" s="50"/>
      <c r="B94" s="33" t="s">
        <v>114</v>
      </c>
      <c r="C94" s="38"/>
      <c r="D94" s="117"/>
      <c r="E94" s="117"/>
      <c r="F94" s="117"/>
      <c r="G94" s="117"/>
      <c r="H94" s="117"/>
      <c r="I94" s="41"/>
      <c r="J94" s="118"/>
      <c r="K94" s="119"/>
    </row>
    <row r="95" spans="1:11" ht="15" customHeight="1">
      <c r="A95" s="50"/>
      <c r="B95" s="117" t="s">
        <v>115</v>
      </c>
      <c r="C95" s="38"/>
      <c r="D95" s="117"/>
      <c r="E95" s="124"/>
      <c r="F95" s="117" t="s">
        <v>446</v>
      </c>
      <c r="G95" s="117"/>
      <c r="H95" s="117"/>
      <c r="I95" s="41"/>
      <c r="J95" s="118">
        <f>1860*2/3</f>
        <v>1240</v>
      </c>
      <c r="K95" s="119" t="s">
        <v>82</v>
      </c>
    </row>
    <row r="96" spans="1:11" ht="15" customHeight="1">
      <c r="A96" s="50"/>
      <c r="B96" s="117"/>
      <c r="C96" s="38"/>
      <c r="D96" s="117"/>
      <c r="E96" s="124"/>
      <c r="F96" s="117"/>
      <c r="G96" s="117"/>
      <c r="H96" s="117"/>
      <c r="I96" s="41"/>
      <c r="J96" s="118"/>
      <c r="K96" s="119"/>
    </row>
    <row r="97" spans="1:11" ht="15" customHeight="1">
      <c r="A97" s="50">
        <v>8</v>
      </c>
      <c r="B97" s="33" t="s">
        <v>113</v>
      </c>
      <c r="C97" s="38"/>
      <c r="D97" s="117"/>
      <c r="E97" s="117"/>
      <c r="F97" s="117"/>
      <c r="G97" s="117"/>
      <c r="H97" s="117"/>
      <c r="I97" s="41"/>
      <c r="J97" s="118"/>
      <c r="K97" s="119"/>
    </row>
    <row r="98" spans="1:11" ht="15" customHeight="1">
      <c r="A98" s="50"/>
      <c r="B98" s="33" t="s">
        <v>116</v>
      </c>
      <c r="C98" s="38"/>
      <c r="D98" s="117"/>
      <c r="E98" s="117"/>
      <c r="F98" s="117"/>
      <c r="G98" s="117"/>
      <c r="H98" s="117"/>
      <c r="I98" s="41"/>
      <c r="J98" s="118"/>
      <c r="K98" s="119"/>
    </row>
    <row r="99" spans="1:11" ht="15" customHeight="1">
      <c r="A99" s="50"/>
      <c r="B99" s="33" t="s">
        <v>447</v>
      </c>
      <c r="C99" s="38"/>
      <c r="D99" s="117"/>
      <c r="E99" s="117" t="s">
        <v>118</v>
      </c>
      <c r="F99" s="117"/>
      <c r="G99" s="117"/>
      <c r="H99" s="117"/>
      <c r="I99" s="41"/>
      <c r="J99" s="118">
        <v>192</v>
      </c>
      <c r="K99" s="119" t="s">
        <v>82</v>
      </c>
    </row>
    <row r="100" spans="1:11" ht="15" customHeight="1">
      <c r="A100" s="50"/>
      <c r="B100" s="33" t="s">
        <v>117</v>
      </c>
      <c r="C100" s="38"/>
      <c r="D100" s="117"/>
      <c r="E100" s="117" t="s">
        <v>118</v>
      </c>
      <c r="F100" s="117"/>
      <c r="G100" s="117"/>
      <c r="H100" s="117"/>
      <c r="I100" s="41"/>
      <c r="J100" s="118">
        <v>192</v>
      </c>
      <c r="K100" s="119" t="s">
        <v>82</v>
      </c>
    </row>
    <row r="101" spans="1:11" ht="15" customHeight="1">
      <c r="A101" s="50"/>
      <c r="B101" s="33" t="s">
        <v>72</v>
      </c>
      <c r="C101" s="38"/>
      <c r="D101" s="117"/>
      <c r="E101" s="117" t="s">
        <v>450</v>
      </c>
      <c r="F101" s="117"/>
      <c r="G101" s="117"/>
      <c r="H101" s="117"/>
      <c r="I101" s="41"/>
      <c r="J101" s="118">
        <v>165</v>
      </c>
      <c r="K101" s="119" t="s">
        <v>82</v>
      </c>
    </row>
    <row r="102" spans="1:11" ht="15" customHeight="1">
      <c r="A102" s="50"/>
      <c r="B102" s="33" t="s">
        <v>72</v>
      </c>
      <c r="C102" s="38"/>
      <c r="D102" s="117"/>
      <c r="E102" s="117" t="s">
        <v>451</v>
      </c>
      <c r="F102" s="117"/>
      <c r="G102" s="117"/>
      <c r="H102" s="117"/>
      <c r="I102" s="41"/>
      <c r="J102" s="118">
        <v>176</v>
      </c>
      <c r="K102" s="119" t="s">
        <v>82</v>
      </c>
    </row>
    <row r="103" spans="1:11" ht="15" customHeight="1">
      <c r="A103" s="50"/>
      <c r="B103" s="33" t="s">
        <v>448</v>
      </c>
      <c r="C103" s="38"/>
      <c r="D103" s="117"/>
      <c r="E103" s="117" t="s">
        <v>452</v>
      </c>
      <c r="F103" s="117"/>
      <c r="G103" s="117"/>
      <c r="H103" s="117"/>
      <c r="I103" s="41"/>
      <c r="J103" s="118">
        <v>88</v>
      </c>
      <c r="K103" s="119" t="s">
        <v>82</v>
      </c>
    </row>
    <row r="104" spans="1:11" ht="15" customHeight="1">
      <c r="A104" s="50"/>
      <c r="B104" s="33" t="s">
        <v>120</v>
      </c>
      <c r="C104" s="38"/>
      <c r="D104" s="117"/>
      <c r="E104" s="117" t="s">
        <v>453</v>
      </c>
      <c r="F104" s="117"/>
      <c r="G104" s="117"/>
      <c r="H104" s="117"/>
      <c r="I104" s="41"/>
      <c r="J104" s="118">
        <v>224</v>
      </c>
      <c r="K104" s="119" t="s">
        <v>82</v>
      </c>
    </row>
    <row r="105" spans="1:11" ht="15" customHeight="1">
      <c r="A105" s="50"/>
      <c r="B105" s="33" t="s">
        <v>449</v>
      </c>
      <c r="C105" s="38"/>
      <c r="D105" s="117"/>
      <c r="E105" s="117" t="s">
        <v>454</v>
      </c>
      <c r="F105" s="117"/>
      <c r="G105" s="117"/>
      <c r="H105" s="117"/>
      <c r="I105" s="41"/>
      <c r="J105" s="118">
        <v>58</v>
      </c>
      <c r="K105" s="119" t="s">
        <v>82</v>
      </c>
    </row>
    <row r="106" spans="1:11" ht="15" customHeight="1">
      <c r="A106" s="50"/>
      <c r="B106" s="33" t="s">
        <v>162</v>
      </c>
      <c r="C106" s="38"/>
      <c r="D106" s="117"/>
      <c r="E106" s="117" t="s">
        <v>455</v>
      </c>
      <c r="F106" s="117"/>
      <c r="G106" s="117"/>
      <c r="H106" s="117"/>
      <c r="I106" s="41"/>
      <c r="J106" s="118">
        <v>79</v>
      </c>
      <c r="K106" s="119" t="s">
        <v>82</v>
      </c>
    </row>
    <row r="107" spans="1:11" ht="15" customHeight="1">
      <c r="A107" s="50"/>
      <c r="B107" s="33" t="s">
        <v>162</v>
      </c>
      <c r="C107" s="38"/>
      <c r="D107" s="117"/>
      <c r="E107" s="117" t="s">
        <v>456</v>
      </c>
      <c r="F107" s="117"/>
      <c r="G107" s="117"/>
      <c r="H107" s="117"/>
      <c r="I107" s="41"/>
      <c r="J107" s="118">
        <v>41</v>
      </c>
      <c r="K107" s="119" t="s">
        <v>82</v>
      </c>
    </row>
    <row r="108" spans="1:11" ht="15" customHeight="1">
      <c r="A108" s="50"/>
      <c r="B108" s="33"/>
      <c r="C108" s="38"/>
      <c r="D108" s="117"/>
      <c r="E108" s="117"/>
      <c r="F108" s="117"/>
      <c r="G108" s="117"/>
      <c r="H108" s="117"/>
      <c r="I108" s="41"/>
      <c r="J108" s="120">
        <f>SUM(J99:J107)</f>
        <v>1215</v>
      </c>
      <c r="K108" s="121" t="s">
        <v>82</v>
      </c>
    </row>
    <row r="109" spans="1:11" ht="15" customHeight="1">
      <c r="A109" s="50"/>
      <c r="C109" s="38"/>
      <c r="D109" s="117"/>
      <c r="E109" s="117"/>
      <c r="F109" s="117"/>
      <c r="G109" s="117"/>
      <c r="H109" s="117"/>
      <c r="I109" s="41"/>
      <c r="J109" s="118"/>
      <c r="K109" s="119"/>
    </row>
    <row r="110" spans="1:11" ht="15" customHeight="1">
      <c r="A110" s="50"/>
      <c r="B110" s="33" t="s">
        <v>122</v>
      </c>
      <c r="C110" s="38"/>
      <c r="D110" s="117"/>
      <c r="E110" s="117" t="s">
        <v>457</v>
      </c>
      <c r="F110" s="117"/>
      <c r="G110" s="117"/>
      <c r="H110" s="117"/>
      <c r="I110" s="41"/>
      <c r="J110" s="118">
        <f>1215*3</f>
        <v>3645</v>
      </c>
      <c r="K110" s="119" t="s">
        <v>8</v>
      </c>
    </row>
    <row r="111" spans="1:11" ht="15" customHeight="1">
      <c r="A111" s="50"/>
      <c r="B111" s="33"/>
      <c r="C111" s="38"/>
      <c r="D111" s="117"/>
      <c r="E111" s="117"/>
      <c r="F111" s="117"/>
      <c r="G111" s="117"/>
      <c r="H111" s="117"/>
      <c r="I111" s="41"/>
      <c r="J111" s="118"/>
      <c r="K111" s="119"/>
    </row>
    <row r="112" spans="1:11" ht="15" customHeight="1">
      <c r="A112" s="50"/>
      <c r="B112" s="33" t="s">
        <v>67</v>
      </c>
      <c r="C112" s="38"/>
      <c r="D112" s="117"/>
      <c r="E112" s="117"/>
      <c r="F112" s="117"/>
      <c r="G112" s="117"/>
      <c r="H112" s="117"/>
      <c r="I112" s="41"/>
      <c r="J112" s="118"/>
      <c r="K112" s="119"/>
    </row>
    <row r="113" spans="1:11" ht="15" customHeight="1">
      <c r="A113" s="50"/>
      <c r="B113" s="33" t="s">
        <v>123</v>
      </c>
      <c r="C113" s="38"/>
      <c r="D113" s="117"/>
      <c r="E113" s="117"/>
      <c r="F113" s="117"/>
      <c r="G113" s="117"/>
      <c r="H113" s="117"/>
      <c r="I113" s="41"/>
      <c r="J113" s="118">
        <v>620</v>
      </c>
      <c r="K113" s="119" t="s">
        <v>82</v>
      </c>
    </row>
    <row r="114" spans="1:11" ht="15" customHeight="1">
      <c r="A114" s="50"/>
      <c r="B114" s="33" t="s">
        <v>124</v>
      </c>
      <c r="C114" s="38"/>
      <c r="D114" s="117"/>
      <c r="E114" s="117"/>
      <c r="F114" s="117"/>
      <c r="G114" s="117"/>
      <c r="H114" s="117"/>
      <c r="I114" s="41"/>
      <c r="J114" s="118">
        <v>1523</v>
      </c>
      <c r="K114" s="119" t="s">
        <v>82</v>
      </c>
    </row>
    <row r="115" spans="1:11" ht="15" customHeight="1">
      <c r="A115" s="50"/>
      <c r="B115" s="33"/>
      <c r="C115" s="38"/>
      <c r="D115" s="117"/>
      <c r="E115" s="117"/>
      <c r="F115" s="117"/>
      <c r="G115" s="117"/>
      <c r="H115" s="117"/>
      <c r="I115" s="41"/>
      <c r="J115" s="118">
        <f>SUM(J113:J114)</f>
        <v>2143</v>
      </c>
      <c r="K115" s="119" t="s">
        <v>82</v>
      </c>
    </row>
    <row r="116" spans="1:11" ht="15" customHeight="1">
      <c r="A116" s="50"/>
      <c r="B116" s="33"/>
      <c r="C116" s="38"/>
      <c r="D116" s="117"/>
      <c r="E116" s="117"/>
      <c r="F116" s="117"/>
      <c r="G116" s="117"/>
      <c r="H116" s="117"/>
      <c r="I116" s="41"/>
      <c r="J116" s="118"/>
      <c r="K116" s="119"/>
    </row>
    <row r="117" spans="1:11" ht="15" customHeight="1">
      <c r="A117" s="50"/>
      <c r="B117" s="33"/>
      <c r="C117" s="38"/>
      <c r="D117" s="117"/>
      <c r="E117" s="117" t="s">
        <v>458</v>
      </c>
      <c r="F117" s="117"/>
      <c r="G117" s="117"/>
      <c r="H117" s="117"/>
      <c r="I117" s="41"/>
      <c r="J117" s="118">
        <f>3645-2143</f>
        <v>1502</v>
      </c>
      <c r="K117" s="119" t="s">
        <v>82</v>
      </c>
    </row>
    <row r="118" spans="1:11" ht="15" customHeight="1">
      <c r="A118" s="50"/>
      <c r="B118" s="33"/>
      <c r="C118" s="38"/>
      <c r="D118" s="117"/>
      <c r="E118" s="117"/>
      <c r="F118" s="117"/>
      <c r="G118" s="117"/>
      <c r="H118" s="117"/>
      <c r="I118" s="41"/>
      <c r="J118" s="118"/>
      <c r="K118" s="119"/>
    </row>
    <row r="119" spans="1:11" ht="15" customHeight="1">
      <c r="A119" s="50">
        <v>9</v>
      </c>
      <c r="B119" s="33" t="s">
        <v>125</v>
      </c>
      <c r="C119" s="38"/>
      <c r="D119" s="117"/>
      <c r="E119" s="117"/>
      <c r="F119" s="117"/>
      <c r="G119" s="117"/>
      <c r="H119" s="117"/>
      <c r="I119" s="41"/>
      <c r="J119" s="118"/>
      <c r="K119" s="119"/>
    </row>
    <row r="120" spans="1:11" ht="15" customHeight="1">
      <c r="A120" s="50"/>
      <c r="B120" s="33" t="s">
        <v>97</v>
      </c>
      <c r="C120" s="38"/>
      <c r="D120" s="117"/>
      <c r="E120" s="117" t="s">
        <v>459</v>
      </c>
      <c r="F120" s="117"/>
      <c r="G120" s="117"/>
      <c r="H120" s="117"/>
      <c r="I120" s="41"/>
      <c r="J120" s="118">
        <v>240</v>
      </c>
      <c r="K120" s="119" t="s">
        <v>8</v>
      </c>
    </row>
    <row r="121" spans="1:11" ht="15" customHeight="1">
      <c r="A121" s="50"/>
      <c r="B121" s="33"/>
      <c r="C121" s="38"/>
      <c r="D121" s="117"/>
      <c r="E121" s="117"/>
      <c r="F121" s="117"/>
      <c r="G121" s="117"/>
      <c r="H121" s="117"/>
      <c r="I121" s="41"/>
      <c r="J121" s="118"/>
      <c r="K121" s="119"/>
    </row>
    <row r="122" spans="1:11" ht="15" customHeight="1">
      <c r="A122" s="50">
        <v>10</v>
      </c>
      <c r="B122" s="33" t="s">
        <v>126</v>
      </c>
      <c r="C122" s="38"/>
      <c r="D122" s="117"/>
      <c r="E122" s="117"/>
      <c r="F122" s="117"/>
      <c r="G122" s="117"/>
      <c r="H122" s="117"/>
      <c r="I122" s="41"/>
      <c r="J122" s="118"/>
      <c r="K122" s="119"/>
    </row>
    <row r="123" spans="1:11" ht="15" customHeight="1">
      <c r="A123" s="50"/>
      <c r="B123" s="33" t="s">
        <v>127</v>
      </c>
      <c r="C123" s="38"/>
      <c r="D123" s="117"/>
      <c r="E123" s="117" t="s">
        <v>460</v>
      </c>
      <c r="F123" s="117"/>
      <c r="G123" s="117"/>
      <c r="H123" s="117"/>
      <c r="I123" s="41"/>
      <c r="J123" s="118">
        <v>516</v>
      </c>
      <c r="K123" s="119" t="s">
        <v>8</v>
      </c>
    </row>
    <row r="124" spans="1:11" ht="15" customHeight="1">
      <c r="A124" s="50"/>
      <c r="B124" s="33"/>
      <c r="C124" s="38"/>
      <c r="D124" s="117"/>
      <c r="E124" s="117"/>
      <c r="F124" s="117"/>
      <c r="G124" s="117"/>
      <c r="H124" s="117"/>
      <c r="I124" s="41"/>
      <c r="J124" s="118"/>
      <c r="K124" s="119"/>
    </row>
    <row r="125" spans="1:11" ht="15" customHeight="1">
      <c r="A125" s="50"/>
      <c r="B125" s="33"/>
      <c r="C125" s="38"/>
      <c r="D125" s="117"/>
      <c r="E125" s="117"/>
      <c r="F125" s="117"/>
      <c r="G125" s="117"/>
      <c r="H125" s="117"/>
      <c r="I125" s="41"/>
      <c r="J125" s="118"/>
      <c r="K125" s="119"/>
    </row>
    <row r="126" spans="1:11" ht="15" customHeight="1">
      <c r="A126" s="50">
        <v>11</v>
      </c>
      <c r="B126" s="33" t="s">
        <v>461</v>
      </c>
      <c r="C126" s="38"/>
      <c r="D126" s="117"/>
      <c r="E126" s="117"/>
      <c r="F126" s="117"/>
      <c r="G126" s="117"/>
      <c r="H126" s="117"/>
      <c r="I126" s="41"/>
      <c r="J126" s="118"/>
      <c r="K126" s="119"/>
    </row>
    <row r="127" spans="1:11" ht="15" customHeight="1">
      <c r="A127" s="50"/>
      <c r="B127" s="33" t="s">
        <v>123</v>
      </c>
      <c r="C127" s="38"/>
      <c r="D127" s="117"/>
      <c r="E127" s="117" t="s">
        <v>462</v>
      </c>
      <c r="F127" s="117"/>
      <c r="G127" s="117"/>
      <c r="H127" s="117"/>
      <c r="I127" s="41"/>
      <c r="J127" s="118">
        <f>1215*0.33</f>
        <v>400.95000000000005</v>
      </c>
      <c r="K127" s="119" t="s">
        <v>82</v>
      </c>
    </row>
    <row r="128" spans="1:11" ht="15" customHeight="1">
      <c r="A128" s="50"/>
      <c r="B128" s="33"/>
      <c r="C128" s="38"/>
      <c r="D128" s="117"/>
      <c r="E128" s="117"/>
      <c r="F128" s="117"/>
      <c r="G128" s="117"/>
      <c r="H128" s="117"/>
      <c r="I128" s="41"/>
      <c r="J128" s="118"/>
      <c r="K128" s="119"/>
    </row>
    <row r="129" spans="1:11" ht="15" customHeight="1">
      <c r="A129" s="50"/>
      <c r="B129" s="163" t="s">
        <v>128</v>
      </c>
      <c r="C129" s="164"/>
      <c r="D129" s="117"/>
      <c r="E129" s="117"/>
      <c r="F129" s="117"/>
      <c r="G129" s="117"/>
      <c r="H129" s="117"/>
      <c r="I129" s="41"/>
      <c r="J129" s="118"/>
      <c r="K129" s="119"/>
    </row>
    <row r="130" spans="1:11" ht="15" customHeight="1">
      <c r="A130" s="50">
        <v>1</v>
      </c>
      <c r="B130" s="33" t="s">
        <v>129</v>
      </c>
      <c r="C130" s="38"/>
      <c r="D130" s="117"/>
      <c r="E130" s="117"/>
      <c r="F130" s="117"/>
      <c r="G130" s="117"/>
      <c r="H130" s="117"/>
      <c r="I130" s="41"/>
      <c r="J130" s="118"/>
      <c r="K130" s="119"/>
    </row>
    <row r="131" spans="1:11" ht="15" customHeight="1">
      <c r="A131" s="50"/>
      <c r="B131" s="33"/>
      <c r="C131" s="38"/>
      <c r="D131" s="117"/>
      <c r="E131" s="117" t="s">
        <v>130</v>
      </c>
      <c r="F131" s="117"/>
      <c r="G131" s="117"/>
      <c r="H131" s="117"/>
      <c r="I131" s="41"/>
      <c r="J131" s="118">
        <f>'Bar Bending Schedule'!J115</f>
        <v>109.54267857142858</v>
      </c>
      <c r="K131" s="119" t="s">
        <v>253</v>
      </c>
    </row>
    <row r="132" spans="1:11" ht="15" customHeight="1">
      <c r="A132" s="50"/>
      <c r="B132" s="33"/>
      <c r="C132" s="38"/>
      <c r="D132" s="117"/>
      <c r="E132" s="117"/>
      <c r="F132" s="117"/>
      <c r="G132" s="117"/>
      <c r="H132" s="117"/>
      <c r="I132" s="41"/>
      <c r="J132" s="118"/>
      <c r="K132" s="119"/>
    </row>
    <row r="133" spans="1:11" ht="15" customHeight="1">
      <c r="A133" s="50">
        <v>2</v>
      </c>
      <c r="B133" s="33" t="s">
        <v>131</v>
      </c>
      <c r="C133" s="38"/>
      <c r="D133" s="117"/>
      <c r="E133" s="117"/>
      <c r="F133" s="117"/>
      <c r="G133" s="117"/>
      <c r="H133" s="117"/>
      <c r="I133" s="41"/>
      <c r="J133" s="118"/>
      <c r="K133" s="119"/>
    </row>
    <row r="134" spans="1:11" ht="15" customHeight="1">
      <c r="A134" s="50"/>
      <c r="B134" s="33" t="s">
        <v>132</v>
      </c>
      <c r="C134" s="38"/>
      <c r="D134" s="117"/>
      <c r="E134" s="117" t="s">
        <v>463</v>
      </c>
      <c r="F134" s="117"/>
      <c r="G134" s="117"/>
      <c r="H134" s="117"/>
      <c r="I134" s="41"/>
      <c r="J134" s="118">
        <f>21*2*0.67*7.17</f>
        <v>201.7638</v>
      </c>
      <c r="K134" s="119" t="s">
        <v>82</v>
      </c>
    </row>
    <row r="135" spans="1:11" ht="15" customHeight="1">
      <c r="A135" s="50"/>
      <c r="B135" s="33" t="s">
        <v>133</v>
      </c>
      <c r="C135" s="38"/>
      <c r="D135" s="117"/>
      <c r="E135" s="117" t="s">
        <v>464</v>
      </c>
      <c r="F135" s="117"/>
      <c r="G135" s="117"/>
      <c r="H135" s="117"/>
      <c r="I135" s="41"/>
      <c r="J135" s="118">
        <f>4*15.83*0.67*3.5</f>
        <v>148.48540000000003</v>
      </c>
      <c r="K135" s="119" t="s">
        <v>82</v>
      </c>
    </row>
    <row r="136" spans="1:11" ht="15" customHeight="1">
      <c r="A136" s="50"/>
      <c r="B136" s="33" t="s">
        <v>134</v>
      </c>
      <c r="C136" s="38"/>
      <c r="D136" s="117"/>
      <c r="E136" s="117" t="s">
        <v>465</v>
      </c>
      <c r="F136" s="117"/>
      <c r="G136" s="117"/>
      <c r="H136" s="117"/>
      <c r="I136" s="41"/>
      <c r="J136" s="118">
        <f>1*14.83*0.67*3.5</f>
        <v>34.776350000000008</v>
      </c>
      <c r="K136" s="119" t="s">
        <v>82</v>
      </c>
    </row>
    <row r="137" spans="1:11" ht="15" customHeight="1">
      <c r="A137" s="50"/>
      <c r="B137" s="33" t="s">
        <v>135</v>
      </c>
      <c r="C137" s="38"/>
      <c r="D137" s="117"/>
      <c r="E137" s="117" t="s">
        <v>466</v>
      </c>
      <c r="F137" s="117"/>
      <c r="G137" s="117"/>
      <c r="H137" s="117"/>
      <c r="I137" s="41"/>
      <c r="J137" s="118">
        <f>1*30.33*0.67*3.5</f>
        <v>71.123850000000004</v>
      </c>
      <c r="K137" s="119" t="s">
        <v>82</v>
      </c>
    </row>
    <row r="138" spans="1:11" ht="15" customHeight="1">
      <c r="A138" s="50"/>
      <c r="B138" s="33" t="s">
        <v>136</v>
      </c>
      <c r="C138" s="38"/>
      <c r="D138" s="117"/>
      <c r="E138" s="117" t="s">
        <v>467</v>
      </c>
      <c r="F138" s="117"/>
      <c r="G138" s="117"/>
      <c r="H138" s="117"/>
      <c r="I138" s="41"/>
      <c r="J138" s="118">
        <f>1*13.83*0.67*3.5</f>
        <v>32.431350000000002</v>
      </c>
      <c r="K138" s="119" t="s">
        <v>82</v>
      </c>
    </row>
    <row r="139" spans="1:11" ht="15" customHeight="1">
      <c r="A139" s="50"/>
      <c r="B139" s="33" t="s">
        <v>137</v>
      </c>
      <c r="C139" s="38"/>
      <c r="D139" s="117"/>
      <c r="E139" s="117" t="s">
        <v>468</v>
      </c>
      <c r="F139" s="117"/>
      <c r="G139" s="117"/>
      <c r="H139" s="117"/>
      <c r="I139" s="41"/>
      <c r="J139" s="118">
        <f>1*21.83*0.67*3.5</f>
        <v>51.19135</v>
      </c>
      <c r="K139" s="119" t="s">
        <v>82</v>
      </c>
    </row>
    <row r="140" spans="1:11" ht="15" customHeight="1">
      <c r="A140" s="50"/>
      <c r="B140" s="33" t="s">
        <v>138</v>
      </c>
      <c r="C140" s="38"/>
      <c r="D140" s="117"/>
      <c r="E140" s="117" t="s">
        <v>469</v>
      </c>
      <c r="F140" s="117"/>
      <c r="G140" s="117"/>
      <c r="H140" s="117"/>
      <c r="I140" s="41"/>
      <c r="J140" s="118">
        <f>1*10.83*0.67*3.5</f>
        <v>25.396350000000002</v>
      </c>
      <c r="K140" s="119" t="s">
        <v>82</v>
      </c>
    </row>
    <row r="141" spans="1:11" ht="15" customHeight="1">
      <c r="A141" s="50"/>
      <c r="B141" s="33" t="s">
        <v>139</v>
      </c>
      <c r="C141" s="38"/>
      <c r="D141" s="117"/>
      <c r="E141" s="117" t="s">
        <v>470</v>
      </c>
      <c r="F141" s="117"/>
      <c r="G141" s="117"/>
      <c r="H141" s="117"/>
      <c r="I141" s="41"/>
      <c r="J141" s="118">
        <f>3*11.83*0.67*3.5</f>
        <v>83.224050000000005</v>
      </c>
      <c r="K141" s="119" t="s">
        <v>82</v>
      </c>
    </row>
    <row r="142" spans="1:11" ht="15" customHeight="1">
      <c r="A142" s="50"/>
      <c r="B142" s="33" t="s">
        <v>140</v>
      </c>
      <c r="C142" s="38"/>
      <c r="D142" s="117"/>
      <c r="E142" s="117" t="s">
        <v>471</v>
      </c>
      <c r="F142" s="117"/>
      <c r="G142" s="117"/>
      <c r="H142" s="117"/>
      <c r="I142" s="41"/>
      <c r="J142" s="118">
        <f>1*33.17*0.67*3.5</f>
        <v>77.783650000000009</v>
      </c>
      <c r="K142" s="119" t="s">
        <v>82</v>
      </c>
    </row>
    <row r="143" spans="1:11" ht="15" customHeight="1">
      <c r="A143" s="50"/>
      <c r="B143" s="33" t="s">
        <v>141</v>
      </c>
      <c r="C143" s="38"/>
      <c r="D143" s="117"/>
      <c r="E143" s="117" t="s">
        <v>472</v>
      </c>
      <c r="F143" s="117"/>
      <c r="G143" s="117"/>
      <c r="H143" s="117"/>
      <c r="I143" s="41"/>
      <c r="J143" s="118">
        <f>1*20*0.67*3.5</f>
        <v>46.9</v>
      </c>
      <c r="K143" s="119" t="s">
        <v>82</v>
      </c>
    </row>
    <row r="144" spans="1:11" ht="15" customHeight="1">
      <c r="A144" s="50"/>
      <c r="B144" s="33" t="s">
        <v>142</v>
      </c>
      <c r="C144" s="38"/>
      <c r="D144" s="117"/>
      <c r="E144" s="117" t="s">
        <v>473</v>
      </c>
      <c r="F144" s="117"/>
      <c r="G144" s="117"/>
      <c r="H144" s="117"/>
      <c r="I144" s="41"/>
      <c r="J144" s="118">
        <f>1*23.67*0.67*3.5</f>
        <v>55.506150000000005</v>
      </c>
      <c r="K144" s="119" t="s">
        <v>82</v>
      </c>
    </row>
    <row r="145" spans="1:19" ht="15" customHeight="1">
      <c r="A145" s="50"/>
      <c r="B145" s="8" t="s">
        <v>475</v>
      </c>
      <c r="C145" s="38"/>
      <c r="D145" s="117"/>
      <c r="E145" s="117" t="s">
        <v>474</v>
      </c>
      <c r="F145" s="117"/>
      <c r="G145" s="117"/>
      <c r="H145" s="117"/>
      <c r="I145" s="41"/>
      <c r="J145" s="118">
        <f>1*54*32.25*0.5</f>
        <v>870.75</v>
      </c>
      <c r="K145" s="119" t="s">
        <v>82</v>
      </c>
    </row>
    <row r="146" spans="1:19" ht="15" customHeight="1">
      <c r="A146" s="50"/>
      <c r="B146" s="35"/>
      <c r="C146" s="38"/>
      <c r="D146" s="117"/>
      <c r="E146" s="117"/>
      <c r="F146" s="117"/>
      <c r="G146" s="117"/>
      <c r="H146" s="117"/>
      <c r="I146" s="41"/>
      <c r="J146" s="120">
        <f>SUM(J134:J145)</f>
        <v>1699.3323</v>
      </c>
      <c r="K146" s="121" t="s">
        <v>82</v>
      </c>
    </row>
    <row r="147" spans="1:19" ht="15" customHeight="1">
      <c r="A147" s="50"/>
      <c r="B147" s="35"/>
      <c r="C147" s="38"/>
      <c r="D147" s="117"/>
      <c r="E147" s="117"/>
      <c r="F147" s="117"/>
      <c r="G147" s="117"/>
      <c r="H147" s="117"/>
      <c r="I147" s="41"/>
      <c r="J147" s="118"/>
      <c r="K147" s="119"/>
    </row>
    <row r="148" spans="1:19" ht="15" customHeight="1">
      <c r="A148" s="50"/>
      <c r="B148" s="33" t="s">
        <v>67</v>
      </c>
      <c r="C148" s="38"/>
      <c r="D148" s="117"/>
      <c r="E148" s="117"/>
      <c r="F148" s="117"/>
      <c r="G148" s="117"/>
      <c r="H148" s="117"/>
      <c r="I148" s="41"/>
      <c r="J148" s="118"/>
      <c r="K148" s="119"/>
    </row>
    <row r="149" spans="1:19" ht="15" customHeight="1">
      <c r="A149" s="50"/>
      <c r="B149" s="33" t="s">
        <v>143</v>
      </c>
      <c r="C149" s="38"/>
      <c r="D149" s="117"/>
      <c r="E149" s="117" t="s">
        <v>476</v>
      </c>
      <c r="F149" s="117"/>
      <c r="G149" s="117"/>
      <c r="H149" s="117"/>
      <c r="I149" s="41"/>
      <c r="J149" s="118">
        <f>1*5*8.5*0.5</f>
        <v>21.25</v>
      </c>
      <c r="K149" s="119" t="s">
        <v>82</v>
      </c>
    </row>
    <row r="150" spans="1:19" ht="15" customHeight="1">
      <c r="A150" s="50"/>
      <c r="B150" s="33" t="s">
        <v>144</v>
      </c>
      <c r="C150" s="38"/>
      <c r="D150" s="117"/>
      <c r="E150" s="117" t="s">
        <v>477</v>
      </c>
      <c r="F150" s="117"/>
      <c r="G150" s="117"/>
      <c r="H150" s="117"/>
      <c r="I150" s="41"/>
      <c r="J150" s="118">
        <f>1*7*11.5*0.5</f>
        <v>40.25</v>
      </c>
      <c r="K150" s="119" t="s">
        <v>82</v>
      </c>
    </row>
    <row r="151" spans="1:19" ht="15" customHeight="1">
      <c r="A151" s="50"/>
      <c r="B151" s="33" t="s">
        <v>145</v>
      </c>
      <c r="C151" s="38"/>
      <c r="D151" s="117"/>
      <c r="E151" s="117" t="s">
        <v>478</v>
      </c>
      <c r="F151" s="117"/>
      <c r="G151" s="117"/>
      <c r="H151" s="117"/>
      <c r="I151" s="41"/>
      <c r="J151" s="118">
        <f>1*6*19*0.5</f>
        <v>57</v>
      </c>
      <c r="K151" s="119" t="s">
        <v>82</v>
      </c>
      <c r="L151" s="36"/>
      <c r="M151" s="36"/>
      <c r="N151" s="36"/>
      <c r="O151" s="36"/>
      <c r="P151" s="36"/>
      <c r="Q151" s="36"/>
      <c r="R151" s="36"/>
      <c r="S151" s="36"/>
    </row>
    <row r="152" spans="1:19" ht="15" customHeight="1">
      <c r="A152" s="50"/>
      <c r="B152" s="35"/>
      <c r="C152" s="38"/>
      <c r="D152" s="117"/>
      <c r="E152" s="117"/>
      <c r="F152" s="117"/>
      <c r="G152" s="117"/>
      <c r="H152" s="117"/>
      <c r="I152" s="41"/>
      <c r="J152" s="118">
        <f>SUM(J149:J151)</f>
        <v>118.5</v>
      </c>
      <c r="K152" s="119" t="s">
        <v>82</v>
      </c>
      <c r="L152" s="36"/>
      <c r="M152" s="36"/>
      <c r="N152" s="36"/>
      <c r="O152" s="36"/>
      <c r="P152" s="36"/>
      <c r="Q152" s="36"/>
      <c r="R152" s="36"/>
      <c r="S152" s="36"/>
    </row>
    <row r="153" spans="1:19" ht="15" customHeight="1">
      <c r="A153" s="50"/>
      <c r="B153" s="35"/>
      <c r="C153" s="38"/>
      <c r="D153" s="117"/>
      <c r="E153" s="117"/>
      <c r="F153" s="117"/>
      <c r="G153" s="117"/>
      <c r="H153" s="117"/>
      <c r="I153" s="41"/>
      <c r="J153" s="118"/>
      <c r="K153" s="119"/>
      <c r="L153" s="36"/>
      <c r="M153" s="36"/>
      <c r="N153" s="36"/>
      <c r="O153" s="36"/>
      <c r="P153" s="36"/>
      <c r="Q153" s="36"/>
      <c r="R153" s="36"/>
      <c r="S153" s="36"/>
    </row>
    <row r="154" spans="1:19" ht="15" customHeight="1">
      <c r="A154" s="50"/>
      <c r="B154" s="35"/>
      <c r="C154" s="38"/>
      <c r="D154" s="117"/>
      <c r="E154" s="117"/>
      <c r="F154" s="117"/>
      <c r="G154" s="117"/>
      <c r="H154" s="117"/>
      <c r="I154" s="41"/>
      <c r="J154" s="118">
        <f>J146-J152</f>
        <v>1580.8323</v>
      </c>
      <c r="K154" s="119" t="s">
        <v>82</v>
      </c>
      <c r="L154" s="36"/>
      <c r="M154" s="36"/>
      <c r="N154" s="36"/>
      <c r="O154" s="36"/>
      <c r="P154" s="36"/>
      <c r="Q154" s="36"/>
      <c r="R154" s="36"/>
      <c r="S154" s="36"/>
    </row>
    <row r="155" spans="1:19" ht="15" customHeight="1">
      <c r="A155" s="50">
        <v>3</v>
      </c>
      <c r="B155" s="35" t="s">
        <v>146</v>
      </c>
      <c r="C155" s="38"/>
      <c r="D155" s="117"/>
      <c r="E155" s="117"/>
      <c r="F155" s="117"/>
      <c r="G155" s="117"/>
      <c r="H155" s="117"/>
      <c r="I155" s="41"/>
      <c r="J155" s="118"/>
      <c r="K155" s="119"/>
      <c r="L155" s="36"/>
      <c r="M155" s="36"/>
      <c r="N155" s="36"/>
      <c r="O155" s="36"/>
      <c r="P155" s="36"/>
      <c r="Q155" s="36"/>
      <c r="R155" s="36"/>
      <c r="S155" s="36"/>
    </row>
    <row r="156" spans="1:19" ht="15" customHeight="1">
      <c r="A156" s="50"/>
      <c r="B156" s="35" t="s">
        <v>147</v>
      </c>
      <c r="C156" s="38"/>
      <c r="D156" s="117"/>
      <c r="E156" s="117"/>
      <c r="F156" s="117"/>
      <c r="G156" s="117"/>
      <c r="H156" s="117"/>
      <c r="I156" s="41"/>
      <c r="J156" s="118"/>
      <c r="K156" s="119"/>
      <c r="L156" s="36"/>
      <c r="M156" s="36"/>
      <c r="N156" s="36"/>
      <c r="O156" s="36"/>
      <c r="P156" s="36"/>
      <c r="Q156" s="36"/>
      <c r="R156" s="36"/>
      <c r="S156" s="36"/>
    </row>
    <row r="157" spans="1:19" ht="15" customHeight="1">
      <c r="A157" s="50"/>
      <c r="B157" s="33" t="s">
        <v>479</v>
      </c>
      <c r="C157" s="38"/>
      <c r="D157" s="117"/>
      <c r="E157" s="117" t="s">
        <v>482</v>
      </c>
      <c r="F157" s="117"/>
      <c r="G157" s="117"/>
      <c r="H157" s="117"/>
      <c r="I157" s="41"/>
      <c r="J157" s="118">
        <f>2*16*0.5*7.17</f>
        <v>114.72</v>
      </c>
      <c r="K157" s="119" t="s">
        <v>82</v>
      </c>
      <c r="L157" s="36"/>
      <c r="M157" s="28"/>
      <c r="N157" s="36"/>
      <c r="O157" s="36"/>
      <c r="P157" s="28"/>
      <c r="Q157" s="28"/>
      <c r="R157" s="36"/>
      <c r="S157" s="36"/>
    </row>
    <row r="158" spans="1:19" ht="15" customHeight="1">
      <c r="A158" s="50"/>
      <c r="B158" s="35" t="s">
        <v>480</v>
      </c>
      <c r="C158" s="38"/>
      <c r="D158" s="117"/>
      <c r="E158" s="117" t="s">
        <v>483</v>
      </c>
      <c r="F158" s="117"/>
      <c r="G158" s="117"/>
      <c r="H158" s="117"/>
      <c r="I158" s="41"/>
      <c r="J158" s="118">
        <f>1*23*0.5*7.17</f>
        <v>82.454999999999998</v>
      </c>
      <c r="K158" s="119" t="s">
        <v>82</v>
      </c>
      <c r="L158" s="36"/>
      <c r="M158" s="36"/>
      <c r="N158" s="36"/>
      <c r="O158" s="36"/>
      <c r="P158" s="36"/>
      <c r="Q158" s="36"/>
      <c r="R158" s="36"/>
      <c r="S158" s="36"/>
    </row>
    <row r="159" spans="1:19" ht="15" customHeight="1">
      <c r="A159" s="50"/>
      <c r="B159" s="33" t="s">
        <v>481</v>
      </c>
      <c r="C159" s="38"/>
      <c r="D159" s="117"/>
      <c r="E159" s="117" t="s">
        <v>484</v>
      </c>
      <c r="F159" s="117"/>
      <c r="G159" s="117"/>
      <c r="H159" s="117"/>
      <c r="I159" s="41"/>
      <c r="J159" s="118">
        <f>1*7.5*0.5*7.17</f>
        <v>26.887499999999999</v>
      </c>
      <c r="K159" s="119" t="s">
        <v>82</v>
      </c>
      <c r="L159" s="36"/>
      <c r="M159" s="36"/>
      <c r="N159" s="36"/>
      <c r="O159" s="36"/>
      <c r="P159" s="36"/>
      <c r="Q159" s="36"/>
      <c r="R159" s="36"/>
      <c r="S159" s="36"/>
    </row>
    <row r="160" spans="1:19" ht="15" customHeight="1">
      <c r="A160" s="50"/>
      <c r="B160" s="33" t="s">
        <v>496</v>
      </c>
      <c r="C160" s="38"/>
      <c r="D160" s="117"/>
      <c r="E160" s="117" t="s">
        <v>485</v>
      </c>
      <c r="F160" s="117"/>
      <c r="G160" s="117"/>
      <c r="H160" s="117"/>
      <c r="I160" s="41"/>
      <c r="J160" s="118">
        <f>1*30.5*0.5*7.17</f>
        <v>109.3425</v>
      </c>
      <c r="K160" s="119" t="s">
        <v>82</v>
      </c>
      <c r="L160" s="36"/>
      <c r="M160" s="36"/>
      <c r="N160" s="36"/>
      <c r="O160" s="36"/>
      <c r="P160" s="36"/>
      <c r="Q160" s="36"/>
      <c r="R160" s="36"/>
      <c r="S160" s="36"/>
    </row>
    <row r="161" spans="1:19" ht="15" customHeight="1">
      <c r="A161" s="50"/>
      <c r="B161" s="33" t="s">
        <v>497</v>
      </c>
      <c r="C161" s="38"/>
      <c r="D161" s="117"/>
      <c r="E161" s="117" t="s">
        <v>150</v>
      </c>
      <c r="F161" s="117"/>
      <c r="G161" s="117"/>
      <c r="H161" s="117"/>
      <c r="I161" s="41"/>
      <c r="J161" s="118">
        <f>1*16*0.5*7.17</f>
        <v>57.36</v>
      </c>
      <c r="K161" s="119" t="s">
        <v>82</v>
      </c>
      <c r="L161" s="36"/>
      <c r="M161" s="36"/>
      <c r="N161" s="36"/>
      <c r="O161" s="36"/>
      <c r="P161" s="36"/>
      <c r="Q161" s="36"/>
      <c r="R161" s="36"/>
      <c r="S161" s="36"/>
    </row>
    <row r="162" spans="1:19" ht="15" customHeight="1">
      <c r="A162" s="50"/>
      <c r="B162" s="33" t="s">
        <v>498</v>
      </c>
      <c r="C162" s="38"/>
      <c r="D162" s="117"/>
      <c r="E162" s="117" t="s">
        <v>486</v>
      </c>
      <c r="F162" s="117"/>
      <c r="G162" s="117"/>
      <c r="H162" s="117"/>
      <c r="I162" s="41"/>
      <c r="J162" s="118">
        <f>1*11*0.5*7.17</f>
        <v>39.435000000000002</v>
      </c>
      <c r="K162" s="119" t="s">
        <v>82</v>
      </c>
      <c r="L162" s="13"/>
    </row>
    <row r="163" spans="1:19" ht="15" customHeight="1">
      <c r="A163" s="50"/>
      <c r="B163" s="33" t="s">
        <v>499</v>
      </c>
      <c r="C163" s="38"/>
      <c r="D163" s="117"/>
      <c r="E163" s="117" t="s">
        <v>150</v>
      </c>
      <c r="F163" s="117"/>
      <c r="G163" s="117"/>
      <c r="H163" s="117"/>
      <c r="I163" s="41"/>
      <c r="J163" s="118">
        <f>1*16*0.5*7.17</f>
        <v>57.36</v>
      </c>
      <c r="K163" s="119" t="s">
        <v>82</v>
      </c>
      <c r="L163" s="13"/>
    </row>
    <row r="164" spans="1:19" ht="15" customHeight="1">
      <c r="A164" s="50"/>
      <c r="B164" s="33" t="s">
        <v>500</v>
      </c>
      <c r="C164" s="38"/>
      <c r="D164" s="117"/>
      <c r="E164" s="117" t="s">
        <v>487</v>
      </c>
      <c r="F164" s="117"/>
      <c r="G164" s="117"/>
      <c r="H164" s="117"/>
      <c r="I164" s="41"/>
      <c r="J164" s="118">
        <f>1*22*0.5*7.17</f>
        <v>78.87</v>
      </c>
      <c r="K164" s="119" t="s">
        <v>82</v>
      </c>
      <c r="L164" s="13"/>
    </row>
    <row r="165" spans="1:19" ht="15" customHeight="1">
      <c r="A165" s="50"/>
      <c r="B165" s="33" t="s">
        <v>186</v>
      </c>
      <c r="C165" s="38"/>
      <c r="D165" s="117"/>
      <c r="E165" s="117" t="s">
        <v>488</v>
      </c>
      <c r="F165" s="117"/>
      <c r="G165" s="117"/>
      <c r="H165" s="117"/>
      <c r="I165" s="41"/>
      <c r="J165" s="118">
        <f>1*5.5*0.5*7.17</f>
        <v>19.717500000000001</v>
      </c>
      <c r="K165" s="119" t="s">
        <v>82</v>
      </c>
      <c r="L165" s="13"/>
    </row>
    <row r="166" spans="1:19" ht="15" customHeight="1">
      <c r="A166" s="50"/>
      <c r="B166" s="33" t="s">
        <v>501</v>
      </c>
      <c r="C166" s="38"/>
      <c r="D166" s="117"/>
      <c r="E166" s="117" t="s">
        <v>489</v>
      </c>
      <c r="F166" s="117"/>
      <c r="G166" s="117"/>
      <c r="H166" s="117"/>
      <c r="I166" s="41"/>
      <c r="J166" s="118">
        <f>1*14*0.5*7.17</f>
        <v>50.19</v>
      </c>
      <c r="K166" s="119" t="s">
        <v>82</v>
      </c>
      <c r="L166" s="13"/>
    </row>
    <row r="167" spans="1:19" ht="15" customHeight="1">
      <c r="A167" s="50"/>
      <c r="B167" s="33" t="s">
        <v>502</v>
      </c>
      <c r="C167" s="38"/>
      <c r="D167" s="117"/>
      <c r="E167" s="117" t="s">
        <v>490</v>
      </c>
      <c r="F167" s="117"/>
      <c r="G167" s="117"/>
      <c r="H167" s="117"/>
      <c r="I167" s="41"/>
      <c r="J167" s="118">
        <f>1*13*0.5*7.17</f>
        <v>46.604999999999997</v>
      </c>
      <c r="K167" s="119" t="s">
        <v>82</v>
      </c>
      <c r="L167" s="13"/>
    </row>
    <row r="168" spans="1:19" ht="15" customHeight="1">
      <c r="A168" s="50"/>
      <c r="B168" s="33" t="s">
        <v>503</v>
      </c>
      <c r="C168" s="38"/>
      <c r="D168" s="117"/>
      <c r="E168" s="117" t="s">
        <v>491</v>
      </c>
      <c r="F168" s="117"/>
      <c r="G168" s="117"/>
      <c r="H168" s="117"/>
      <c r="I168" s="41"/>
      <c r="J168" s="118">
        <f>1*6*0.5*7.17</f>
        <v>21.509999999999998</v>
      </c>
      <c r="K168" s="119" t="s">
        <v>82</v>
      </c>
      <c r="L168" s="13"/>
    </row>
    <row r="169" spans="1:19" ht="15" customHeight="1">
      <c r="A169" s="50"/>
      <c r="B169" s="33" t="s">
        <v>504</v>
      </c>
      <c r="C169" s="38"/>
      <c r="D169" s="117"/>
      <c r="E169" s="117" t="s">
        <v>490</v>
      </c>
      <c r="F169" s="117"/>
      <c r="G169" s="117"/>
      <c r="H169" s="117"/>
      <c r="I169" s="41"/>
      <c r="J169" s="118">
        <f>1*13*0.5*7.17</f>
        <v>46.604999999999997</v>
      </c>
      <c r="K169" s="119" t="s">
        <v>82</v>
      </c>
      <c r="L169" s="13"/>
    </row>
    <row r="170" spans="1:19" ht="15" customHeight="1">
      <c r="A170" s="50"/>
      <c r="B170" s="33" t="s">
        <v>505</v>
      </c>
      <c r="C170" s="38"/>
      <c r="D170" s="117"/>
      <c r="E170" s="117" t="s">
        <v>490</v>
      </c>
      <c r="F170" s="117"/>
      <c r="G170" s="117"/>
      <c r="H170" s="117"/>
      <c r="I170" s="41"/>
      <c r="J170" s="118">
        <f>1*13*0.5*7.17</f>
        <v>46.604999999999997</v>
      </c>
      <c r="K170" s="119" t="s">
        <v>82</v>
      </c>
      <c r="L170" s="13"/>
    </row>
    <row r="171" spans="1:19" ht="15" customHeight="1">
      <c r="A171" s="50"/>
      <c r="B171" s="33" t="s">
        <v>506</v>
      </c>
      <c r="C171" s="38"/>
      <c r="D171" s="117"/>
      <c r="E171" s="117" t="s">
        <v>492</v>
      </c>
      <c r="F171" s="117"/>
      <c r="G171" s="117"/>
      <c r="H171" s="117"/>
      <c r="I171" s="41"/>
      <c r="J171" s="118">
        <f>1*32*0.5*7.17</f>
        <v>114.72</v>
      </c>
      <c r="K171" s="119" t="s">
        <v>82</v>
      </c>
      <c r="L171" s="13"/>
    </row>
    <row r="172" spans="1:19" ht="15" customHeight="1">
      <c r="A172" s="50"/>
      <c r="B172" s="33" t="s">
        <v>507</v>
      </c>
      <c r="C172" s="38"/>
      <c r="D172" s="117"/>
      <c r="E172" s="117" t="s">
        <v>493</v>
      </c>
      <c r="F172" s="117"/>
      <c r="G172" s="117"/>
      <c r="H172" s="117"/>
      <c r="I172" s="41"/>
      <c r="J172" s="118">
        <f>1*20*0.5*7.17</f>
        <v>71.7</v>
      </c>
      <c r="K172" s="119" t="s">
        <v>82</v>
      </c>
      <c r="L172" s="13"/>
    </row>
    <row r="173" spans="1:19" ht="15" customHeight="1">
      <c r="A173" s="50"/>
      <c r="B173" s="33" t="s">
        <v>508</v>
      </c>
      <c r="C173" s="38"/>
      <c r="D173" s="117"/>
      <c r="E173" s="117" t="s">
        <v>494</v>
      </c>
      <c r="F173" s="117"/>
      <c r="G173" s="117"/>
      <c r="H173" s="117"/>
      <c r="I173" s="41"/>
      <c r="J173" s="118">
        <f>2*11*0.5*7.17</f>
        <v>78.87</v>
      </c>
      <c r="K173" s="119" t="s">
        <v>82</v>
      </c>
      <c r="L173" s="13"/>
    </row>
    <row r="174" spans="1:19" ht="15" customHeight="1">
      <c r="A174" s="50"/>
      <c r="B174" s="33" t="s">
        <v>509</v>
      </c>
      <c r="C174" s="38"/>
      <c r="D174" s="117"/>
      <c r="E174" s="117" t="s">
        <v>495</v>
      </c>
      <c r="F174" s="117"/>
      <c r="G174" s="117"/>
      <c r="H174" s="117"/>
      <c r="I174" s="41"/>
      <c r="J174" s="118">
        <f>1*23.5*0.5*7.17</f>
        <v>84.247500000000002</v>
      </c>
      <c r="K174" s="119" t="s">
        <v>82</v>
      </c>
      <c r="L174" s="13"/>
    </row>
    <row r="175" spans="1:19" ht="15" customHeight="1">
      <c r="A175" s="50"/>
      <c r="B175" s="33" t="s">
        <v>510</v>
      </c>
      <c r="C175" s="38"/>
      <c r="D175" s="117"/>
      <c r="E175" s="117" t="s">
        <v>149</v>
      </c>
      <c r="F175" s="117"/>
      <c r="G175" s="117"/>
      <c r="H175" s="117"/>
      <c r="I175" s="41"/>
      <c r="J175" s="118">
        <f>1*8.5*0.5*7.17</f>
        <v>30.4725</v>
      </c>
      <c r="K175" s="119" t="s">
        <v>82</v>
      </c>
      <c r="L175" s="13"/>
    </row>
    <row r="176" spans="1:19" ht="15" customHeight="1">
      <c r="A176" s="50"/>
      <c r="B176" s="35"/>
      <c r="C176" s="38"/>
      <c r="D176" s="117"/>
      <c r="E176" s="117"/>
      <c r="F176" s="117"/>
      <c r="G176" s="117"/>
      <c r="H176" s="117"/>
      <c r="I176" s="41"/>
      <c r="J176" s="120">
        <f>SUM(J157:J175)</f>
        <v>1177.6725000000004</v>
      </c>
      <c r="K176" s="121" t="s">
        <v>82</v>
      </c>
      <c r="L176" s="13"/>
    </row>
    <row r="177" spans="1:12" ht="15" customHeight="1">
      <c r="L177" s="13"/>
    </row>
    <row r="178" spans="1:12" ht="15" customHeight="1">
      <c r="A178" s="50"/>
      <c r="B178" s="35" t="s">
        <v>67</v>
      </c>
      <c r="C178" s="38"/>
      <c r="D178" s="117"/>
      <c r="E178" s="117"/>
      <c r="F178" s="117"/>
      <c r="G178" s="117"/>
      <c r="H178" s="117"/>
      <c r="I178" s="41"/>
      <c r="J178" s="118"/>
      <c r="K178" s="119"/>
      <c r="L178" s="13"/>
    </row>
    <row r="179" spans="1:12" ht="15" customHeight="1">
      <c r="A179" s="50"/>
      <c r="B179" s="33" t="s">
        <v>153</v>
      </c>
      <c r="C179" s="38"/>
      <c r="D179" s="117"/>
      <c r="E179" s="117" t="s">
        <v>151</v>
      </c>
      <c r="F179" s="117"/>
      <c r="G179" s="117"/>
      <c r="H179" s="117"/>
      <c r="I179" s="41"/>
      <c r="J179" s="118">
        <f>3*5*0.5*7.17</f>
        <v>53.774999999999999</v>
      </c>
      <c r="K179" s="119" t="s">
        <v>82</v>
      </c>
      <c r="L179" s="13"/>
    </row>
    <row r="180" spans="1:12" ht="15" customHeight="1">
      <c r="A180" s="50"/>
      <c r="B180" s="33" t="s">
        <v>154</v>
      </c>
      <c r="C180" s="38"/>
      <c r="D180" s="117"/>
      <c r="E180" s="117" t="s">
        <v>511</v>
      </c>
      <c r="F180" s="117"/>
      <c r="G180" s="117"/>
      <c r="H180" s="117"/>
      <c r="I180" s="41"/>
      <c r="J180" s="118">
        <f>5*3*0.5*7.17</f>
        <v>53.774999999999999</v>
      </c>
      <c r="K180" s="119" t="s">
        <v>82</v>
      </c>
      <c r="L180" s="13"/>
    </row>
    <row r="181" spans="1:12" ht="15" customHeight="1">
      <c r="A181" s="50"/>
      <c r="B181" s="33" t="s">
        <v>155</v>
      </c>
      <c r="C181" s="38"/>
      <c r="D181" s="117"/>
      <c r="E181" s="117" t="s">
        <v>512</v>
      </c>
      <c r="F181" s="117"/>
      <c r="G181" s="117"/>
      <c r="H181" s="117"/>
      <c r="I181" s="41"/>
      <c r="J181" s="118">
        <f>1*3.5*0.5*7.17</f>
        <v>12.547499999999999</v>
      </c>
      <c r="K181" s="119" t="s">
        <v>82</v>
      </c>
      <c r="L181" s="13"/>
    </row>
    <row r="182" spans="1:12" ht="15" customHeight="1">
      <c r="A182" s="50"/>
      <c r="B182" s="33" t="s">
        <v>156</v>
      </c>
      <c r="C182" s="38"/>
      <c r="D182" s="117"/>
      <c r="E182" s="117" t="s">
        <v>513</v>
      </c>
      <c r="F182" s="117"/>
      <c r="G182" s="117"/>
      <c r="H182" s="117"/>
      <c r="I182" s="41"/>
      <c r="J182" s="118">
        <f>1*5*0.5*6</f>
        <v>15</v>
      </c>
      <c r="K182" s="119" t="s">
        <v>82</v>
      </c>
      <c r="L182" s="13"/>
    </row>
    <row r="183" spans="1:12" ht="15" customHeight="1">
      <c r="A183" s="50"/>
      <c r="B183" s="33" t="s">
        <v>157</v>
      </c>
      <c r="C183" s="38"/>
      <c r="D183" s="117"/>
      <c r="E183" s="117" t="s">
        <v>514</v>
      </c>
      <c r="F183" s="117"/>
      <c r="G183" s="117"/>
      <c r="H183" s="117"/>
      <c r="I183" s="41"/>
      <c r="J183" s="118">
        <f>1*3*0.5*6</f>
        <v>9</v>
      </c>
      <c r="K183" s="119" t="s">
        <v>82</v>
      </c>
      <c r="L183" s="13"/>
    </row>
    <row r="184" spans="1:12" ht="15" customHeight="1">
      <c r="A184" s="50"/>
      <c r="B184" s="33" t="s">
        <v>158</v>
      </c>
      <c r="C184" s="38"/>
      <c r="D184" s="117"/>
      <c r="E184" s="117" t="s">
        <v>515</v>
      </c>
      <c r="F184" s="117"/>
      <c r="G184" s="117"/>
      <c r="H184" s="117"/>
      <c r="I184" s="41"/>
      <c r="J184" s="118">
        <f>1*4*0.5*3.5</f>
        <v>7</v>
      </c>
      <c r="K184" s="119" t="s">
        <v>82</v>
      </c>
      <c r="L184" s="13"/>
    </row>
    <row r="185" spans="1:12" ht="15" customHeight="1">
      <c r="A185" s="50"/>
      <c r="B185" s="33" t="s">
        <v>159</v>
      </c>
      <c r="C185" s="38"/>
      <c r="D185" s="117"/>
      <c r="E185" s="117" t="s">
        <v>516</v>
      </c>
      <c r="F185" s="117"/>
      <c r="G185" s="117"/>
      <c r="H185" s="117"/>
      <c r="I185" s="41"/>
      <c r="J185" s="118">
        <f>1*5*0.5*4</f>
        <v>10</v>
      </c>
      <c r="K185" s="119" t="s">
        <v>82</v>
      </c>
      <c r="L185" s="13"/>
    </row>
    <row r="186" spans="1:12" ht="15" customHeight="1">
      <c r="A186" s="50"/>
      <c r="B186" s="33" t="s">
        <v>519</v>
      </c>
      <c r="C186" s="38"/>
      <c r="D186" s="117"/>
      <c r="E186" s="117" t="s">
        <v>517</v>
      </c>
      <c r="F186" s="117"/>
      <c r="G186" s="117"/>
      <c r="H186" s="117"/>
      <c r="I186" s="41"/>
      <c r="J186" s="118">
        <f>4*4.5*0.5*4</f>
        <v>36</v>
      </c>
      <c r="K186" s="119" t="s">
        <v>82</v>
      </c>
      <c r="L186" s="13"/>
    </row>
    <row r="187" spans="1:12" ht="15" customHeight="1">
      <c r="A187" s="50"/>
      <c r="B187" s="33" t="s">
        <v>520</v>
      </c>
      <c r="C187" s="38"/>
      <c r="D187" s="117"/>
      <c r="E187" s="117" t="s">
        <v>518</v>
      </c>
      <c r="F187" s="117"/>
      <c r="G187" s="117"/>
      <c r="H187" s="117"/>
      <c r="I187" s="41"/>
      <c r="J187" s="118">
        <f>3*6*0.5*6</f>
        <v>54</v>
      </c>
      <c r="K187" s="119" t="s">
        <v>82</v>
      </c>
      <c r="L187" s="13"/>
    </row>
    <row r="188" spans="1:12" ht="15" customHeight="1">
      <c r="A188" s="50"/>
      <c r="B188" s="33" t="s">
        <v>521</v>
      </c>
      <c r="C188" s="38"/>
      <c r="D188" s="117"/>
      <c r="E188" s="117" t="s">
        <v>522</v>
      </c>
      <c r="F188" s="117"/>
      <c r="G188" s="117"/>
      <c r="H188" s="117"/>
      <c r="I188" s="41"/>
      <c r="J188" s="118">
        <f>3*2*0.5*2</f>
        <v>6</v>
      </c>
      <c r="K188" s="119" t="s">
        <v>82</v>
      </c>
      <c r="L188" s="13"/>
    </row>
    <row r="189" spans="1:12" ht="15" customHeight="1">
      <c r="A189" s="50"/>
      <c r="B189" s="35"/>
      <c r="C189" s="38"/>
      <c r="D189" s="117"/>
      <c r="E189" s="117"/>
      <c r="F189" s="117"/>
      <c r="G189" s="117"/>
      <c r="H189" s="117"/>
      <c r="I189" s="41"/>
      <c r="J189" s="118">
        <f>SUM(J179:J188)</f>
        <v>257.09749999999997</v>
      </c>
      <c r="K189" s="119" t="s">
        <v>82</v>
      </c>
      <c r="L189" s="13"/>
    </row>
    <row r="190" spans="1:12" ht="15" customHeight="1">
      <c r="A190" s="50"/>
      <c r="B190" s="35"/>
      <c r="C190" s="38"/>
      <c r="D190" s="117"/>
      <c r="E190" s="117"/>
      <c r="F190" s="117"/>
      <c r="G190" s="117"/>
      <c r="H190" s="117"/>
      <c r="I190" s="41"/>
      <c r="J190" s="118"/>
      <c r="K190" s="119"/>
      <c r="L190" s="13"/>
    </row>
    <row r="191" spans="1:12" ht="15" customHeight="1">
      <c r="A191" s="50"/>
      <c r="B191" s="35"/>
      <c r="C191" s="38"/>
      <c r="D191" s="117"/>
      <c r="E191" s="117"/>
      <c r="F191" s="117"/>
      <c r="G191" s="117"/>
      <c r="H191" s="117"/>
      <c r="I191" s="41"/>
      <c r="J191" s="120">
        <f>J176-J189</f>
        <v>920.57500000000039</v>
      </c>
      <c r="K191" s="121" t="s">
        <v>82</v>
      </c>
      <c r="L191" s="13"/>
    </row>
    <row r="192" spans="1:12" ht="15" customHeight="1">
      <c r="L192" s="13"/>
    </row>
    <row r="193" spans="1:12" ht="15" customHeight="1">
      <c r="A193" s="50">
        <v>4</v>
      </c>
      <c r="B193" s="35" t="s">
        <v>160</v>
      </c>
      <c r="C193" s="38"/>
      <c r="D193" s="117"/>
      <c r="E193" s="117"/>
      <c r="F193" s="117"/>
      <c r="G193" s="117"/>
      <c r="H193" s="117"/>
      <c r="I193" s="41"/>
      <c r="J193" s="118"/>
      <c r="K193" s="119"/>
      <c r="L193" s="13"/>
    </row>
    <row r="194" spans="1:12" ht="15" customHeight="1">
      <c r="A194" s="50"/>
      <c r="B194" s="35" t="s">
        <v>161</v>
      </c>
      <c r="C194" s="38"/>
      <c r="D194" s="117"/>
      <c r="E194" s="117"/>
      <c r="F194" s="117"/>
      <c r="G194" s="117"/>
      <c r="H194" s="117"/>
      <c r="I194" s="41"/>
      <c r="J194" s="118"/>
      <c r="K194" s="119"/>
      <c r="L194" s="13"/>
    </row>
    <row r="195" spans="1:12" ht="15" customHeight="1">
      <c r="A195" s="50"/>
      <c r="B195" s="33" t="s">
        <v>523</v>
      </c>
      <c r="C195" s="38"/>
      <c r="D195" s="117"/>
      <c r="E195" s="117" t="s">
        <v>163</v>
      </c>
      <c r="F195" s="117"/>
      <c r="G195" s="117"/>
      <c r="H195" s="117"/>
      <c r="I195" s="41"/>
      <c r="J195" s="118">
        <f>1*2*(16+12)*10</f>
        <v>560</v>
      </c>
      <c r="K195" s="119" t="s">
        <v>8</v>
      </c>
      <c r="L195" s="13"/>
    </row>
    <row r="196" spans="1:12" ht="15" customHeight="1">
      <c r="A196" s="50"/>
      <c r="B196" s="33" t="s">
        <v>117</v>
      </c>
      <c r="C196" s="38"/>
      <c r="D196" s="117"/>
      <c r="E196" s="117" t="s">
        <v>525</v>
      </c>
      <c r="F196" s="117"/>
      <c r="G196" s="117"/>
      <c r="H196" s="117"/>
      <c r="I196" s="41"/>
      <c r="J196" s="118">
        <f>1*2*(15+11)*10</f>
        <v>520</v>
      </c>
      <c r="K196" s="119" t="s">
        <v>8</v>
      </c>
      <c r="L196" s="13"/>
    </row>
    <row r="197" spans="1:12" ht="15" customHeight="1">
      <c r="A197" s="50"/>
      <c r="B197" s="33" t="s">
        <v>72</v>
      </c>
      <c r="C197" s="38"/>
      <c r="D197" s="117"/>
      <c r="E197" s="117" t="s">
        <v>526</v>
      </c>
      <c r="F197" s="117"/>
      <c r="G197" s="117"/>
      <c r="H197" s="117"/>
      <c r="I197" s="41"/>
      <c r="J197" s="118">
        <f>1*2*(16+11)*10</f>
        <v>540</v>
      </c>
      <c r="K197" s="119" t="s">
        <v>8</v>
      </c>
      <c r="L197" s="13"/>
    </row>
    <row r="198" spans="1:12" ht="15" customHeight="1">
      <c r="A198" s="50"/>
      <c r="B198" s="33" t="s">
        <v>165</v>
      </c>
      <c r="C198" s="38"/>
      <c r="D198" s="117"/>
      <c r="E198" s="117" t="s">
        <v>163</v>
      </c>
      <c r="F198" s="117"/>
      <c r="G198" s="117"/>
      <c r="H198" s="117"/>
      <c r="I198" s="41"/>
      <c r="J198" s="118">
        <f>1*2*(16+12)*10</f>
        <v>560</v>
      </c>
      <c r="K198" s="119" t="s">
        <v>8</v>
      </c>
      <c r="L198" s="13"/>
    </row>
    <row r="199" spans="1:12" ht="15" customHeight="1">
      <c r="A199" s="50"/>
      <c r="B199" s="33" t="s">
        <v>120</v>
      </c>
      <c r="C199" s="38"/>
      <c r="D199" s="117"/>
      <c r="E199" s="117" t="s">
        <v>527</v>
      </c>
      <c r="F199" s="117"/>
      <c r="G199" s="117"/>
      <c r="H199" s="117"/>
      <c r="I199" s="41"/>
      <c r="J199" s="118">
        <f>1*2*(14+16)*10</f>
        <v>600</v>
      </c>
      <c r="K199" s="119" t="s">
        <v>8</v>
      </c>
      <c r="L199" s="13"/>
    </row>
    <row r="200" spans="1:12" ht="15" customHeight="1">
      <c r="A200" s="50"/>
      <c r="B200" s="33" t="s">
        <v>524</v>
      </c>
      <c r="C200" s="38"/>
      <c r="D200" s="117"/>
      <c r="E200" s="117" t="s">
        <v>528</v>
      </c>
      <c r="F200" s="117"/>
      <c r="G200" s="117"/>
      <c r="H200" s="117"/>
      <c r="I200" s="41"/>
      <c r="J200" s="118">
        <f>1*2*(5.5+10.5)*10</f>
        <v>320</v>
      </c>
      <c r="K200" s="119" t="s">
        <v>8</v>
      </c>
      <c r="L200" s="13"/>
    </row>
    <row r="201" spans="1:12" ht="15" customHeight="1">
      <c r="A201" s="50"/>
      <c r="B201" s="33" t="s">
        <v>162</v>
      </c>
      <c r="C201" s="38"/>
      <c r="D201" s="117"/>
      <c r="E201" s="117" t="s">
        <v>529</v>
      </c>
      <c r="F201" s="117"/>
      <c r="G201" s="117"/>
      <c r="H201" s="117"/>
      <c r="I201" s="41"/>
      <c r="J201" s="118">
        <f>2*2*(7.5+5.25)*3.5</f>
        <v>178.5</v>
      </c>
      <c r="K201" s="119" t="s">
        <v>8</v>
      </c>
      <c r="L201" s="13"/>
    </row>
    <row r="202" spans="1:12" ht="15" customHeight="1">
      <c r="A202" s="50"/>
      <c r="B202" s="33" t="s">
        <v>119</v>
      </c>
      <c r="C202" s="38"/>
      <c r="D202" s="117"/>
      <c r="E202" s="117" t="s">
        <v>530</v>
      </c>
      <c r="F202" s="117"/>
      <c r="G202" s="117"/>
      <c r="H202" s="117"/>
      <c r="I202" s="41"/>
      <c r="J202" s="118">
        <f>1*2*(5.5+7.5)*3.5</f>
        <v>91</v>
      </c>
      <c r="K202" s="119" t="s">
        <v>8</v>
      </c>
      <c r="L202" s="13"/>
    </row>
    <row r="203" spans="1:12" ht="15" customHeight="1">
      <c r="A203" s="50"/>
      <c r="B203" s="33" t="s">
        <v>121</v>
      </c>
      <c r="C203" s="38"/>
      <c r="D203" s="117"/>
      <c r="E203" s="117" t="s">
        <v>531</v>
      </c>
      <c r="F203" s="117"/>
      <c r="G203" s="117"/>
      <c r="H203" s="117"/>
      <c r="I203" s="41"/>
      <c r="J203" s="118">
        <f>1*2*(11+8)*5.5</f>
        <v>209</v>
      </c>
      <c r="K203" s="119" t="s">
        <v>8</v>
      </c>
      <c r="L203" s="13"/>
    </row>
    <row r="204" spans="1:12" ht="15" customHeight="1">
      <c r="A204" s="50"/>
      <c r="B204" s="35"/>
      <c r="C204" s="38"/>
      <c r="D204" s="117"/>
      <c r="E204" s="117"/>
      <c r="F204" s="117"/>
      <c r="G204" s="117"/>
      <c r="H204" s="117"/>
      <c r="I204" s="41"/>
      <c r="J204" s="120">
        <f>SUM(J195:J203)</f>
        <v>3578.5</v>
      </c>
      <c r="K204" s="121" t="s">
        <v>8</v>
      </c>
      <c r="L204" s="13"/>
    </row>
    <row r="205" spans="1:12" ht="15" customHeight="1">
      <c r="A205" s="50"/>
      <c r="B205" s="35"/>
      <c r="C205" s="38"/>
      <c r="D205" s="117"/>
      <c r="E205" s="117"/>
      <c r="F205" s="117"/>
      <c r="G205" s="117"/>
      <c r="H205" s="117"/>
      <c r="I205" s="41"/>
      <c r="J205" s="118"/>
      <c r="K205" s="119"/>
      <c r="L205" s="13"/>
    </row>
    <row r="206" spans="1:12" ht="15" customHeight="1">
      <c r="A206" s="50"/>
      <c r="B206" s="35" t="s">
        <v>67</v>
      </c>
      <c r="C206" s="38"/>
      <c r="D206" s="117"/>
      <c r="E206" s="117"/>
      <c r="F206" s="117"/>
      <c r="G206" s="117"/>
      <c r="H206" s="117"/>
      <c r="I206" s="41"/>
      <c r="J206" s="118"/>
      <c r="K206" s="119"/>
      <c r="L206" s="13"/>
    </row>
    <row r="207" spans="1:12" ht="15" customHeight="1">
      <c r="A207" s="50"/>
      <c r="B207" s="33" t="s">
        <v>153</v>
      </c>
      <c r="C207" s="38"/>
      <c r="D207" s="117"/>
      <c r="E207" s="117" t="s">
        <v>200</v>
      </c>
      <c r="F207" s="117"/>
      <c r="G207" s="117"/>
      <c r="H207" s="117"/>
      <c r="I207" s="41"/>
      <c r="J207" s="118">
        <f>3*1*2.5*7</f>
        <v>52.5</v>
      </c>
      <c r="K207" s="119" t="s">
        <v>8</v>
      </c>
      <c r="L207" s="13"/>
    </row>
    <row r="208" spans="1:12" ht="15" customHeight="1">
      <c r="A208" s="50"/>
      <c r="B208" s="8" t="s">
        <v>154</v>
      </c>
      <c r="C208" s="38"/>
      <c r="D208" s="117"/>
      <c r="E208" s="117" t="s">
        <v>532</v>
      </c>
      <c r="F208" s="117"/>
      <c r="G208" s="117"/>
      <c r="H208" s="117"/>
      <c r="I208" s="41"/>
      <c r="J208" s="118">
        <f>4*2*3*7</f>
        <v>168</v>
      </c>
      <c r="K208" s="119" t="s">
        <v>8</v>
      </c>
      <c r="L208" s="13"/>
    </row>
    <row r="209" spans="1:12" ht="15" customHeight="1">
      <c r="A209" s="50"/>
      <c r="B209" s="33" t="s">
        <v>154</v>
      </c>
      <c r="C209" s="38"/>
      <c r="D209" s="117"/>
      <c r="E209" s="117" t="s">
        <v>533</v>
      </c>
      <c r="F209" s="117"/>
      <c r="G209" s="117"/>
      <c r="H209" s="117"/>
      <c r="I209" s="41"/>
      <c r="J209" s="118">
        <f>1*1*3*7</f>
        <v>21</v>
      </c>
      <c r="K209" s="119" t="s">
        <v>8</v>
      </c>
      <c r="L209" s="13"/>
    </row>
    <row r="210" spans="1:12" ht="15" customHeight="1">
      <c r="A210" s="50"/>
      <c r="B210" s="33" t="s">
        <v>155</v>
      </c>
      <c r="C210" s="38"/>
      <c r="D210" s="117"/>
      <c r="E210" s="117" t="s">
        <v>534</v>
      </c>
      <c r="F210" s="117"/>
      <c r="G210" s="117"/>
      <c r="H210" s="117"/>
      <c r="I210" s="41"/>
      <c r="J210" s="118">
        <f>1*2*3.5*7</f>
        <v>49</v>
      </c>
      <c r="K210" s="119" t="s">
        <v>8</v>
      </c>
      <c r="L210" s="13"/>
    </row>
    <row r="211" spans="1:12" ht="15" customHeight="1">
      <c r="A211" s="50"/>
      <c r="B211" s="33" t="s">
        <v>156</v>
      </c>
      <c r="C211" s="38"/>
      <c r="D211" s="117"/>
      <c r="E211" s="117" t="s">
        <v>535</v>
      </c>
      <c r="F211" s="117"/>
      <c r="G211" s="117"/>
      <c r="H211" s="117"/>
      <c r="I211" s="41"/>
      <c r="J211" s="118">
        <f>1*1*5*7</f>
        <v>35</v>
      </c>
      <c r="K211" s="119" t="s">
        <v>8</v>
      </c>
      <c r="L211" s="13"/>
    </row>
    <row r="212" spans="1:12" ht="15" customHeight="1">
      <c r="A212" s="50"/>
      <c r="B212" s="33" t="s">
        <v>157</v>
      </c>
      <c r="C212" s="38"/>
      <c r="D212" s="117"/>
      <c r="E212" s="117" t="s">
        <v>536</v>
      </c>
      <c r="F212" s="117"/>
      <c r="G212" s="117"/>
      <c r="H212" s="117"/>
      <c r="I212" s="41"/>
      <c r="J212" s="118">
        <f>1*1*3*6</f>
        <v>18</v>
      </c>
      <c r="K212" s="119" t="s">
        <v>8</v>
      </c>
      <c r="L212" s="13"/>
    </row>
    <row r="213" spans="1:12" ht="15" customHeight="1">
      <c r="A213" s="50"/>
      <c r="B213" s="33" t="s">
        <v>158</v>
      </c>
      <c r="C213" s="38"/>
      <c r="D213" s="117"/>
      <c r="E213" s="117" t="s">
        <v>537</v>
      </c>
      <c r="F213" s="117"/>
      <c r="G213" s="117"/>
      <c r="H213" s="117"/>
      <c r="I213" s="41"/>
      <c r="J213" s="118">
        <f>1*1*4*3.5</f>
        <v>14</v>
      </c>
      <c r="K213" s="119" t="s">
        <v>8</v>
      </c>
      <c r="L213" s="13"/>
    </row>
    <row r="214" spans="1:12" ht="15" customHeight="1">
      <c r="A214" s="50"/>
      <c r="B214" s="33" t="s">
        <v>159</v>
      </c>
      <c r="C214" s="38"/>
      <c r="D214" s="117"/>
      <c r="E214" s="117" t="s">
        <v>538</v>
      </c>
      <c r="F214" s="117"/>
      <c r="G214" s="117"/>
      <c r="H214" s="117"/>
      <c r="I214" s="41"/>
      <c r="J214" s="118">
        <f>1*1*5*4</f>
        <v>20</v>
      </c>
      <c r="K214" s="119" t="s">
        <v>8</v>
      </c>
      <c r="L214" s="13"/>
    </row>
    <row r="215" spans="1:12" ht="15" customHeight="1">
      <c r="A215" s="50"/>
      <c r="B215" s="33" t="s">
        <v>519</v>
      </c>
      <c r="C215" s="38"/>
      <c r="D215" s="117"/>
      <c r="E215" s="117" t="s">
        <v>539</v>
      </c>
      <c r="F215" s="117"/>
      <c r="G215" s="117"/>
      <c r="H215" s="117"/>
      <c r="I215" s="41"/>
      <c r="J215" s="118">
        <f>4*1*6*4</f>
        <v>96</v>
      </c>
      <c r="K215" s="119" t="s">
        <v>8</v>
      </c>
      <c r="L215" s="13"/>
    </row>
    <row r="216" spans="1:12" ht="15" customHeight="1">
      <c r="A216" s="50"/>
      <c r="B216" s="33" t="s">
        <v>520</v>
      </c>
      <c r="C216" s="38"/>
      <c r="D216" s="117"/>
      <c r="E216" s="117" t="s">
        <v>540</v>
      </c>
      <c r="F216" s="117"/>
      <c r="G216" s="117"/>
      <c r="H216" s="117"/>
      <c r="I216" s="41"/>
      <c r="J216" s="118">
        <f>3*1*6*6</f>
        <v>108</v>
      </c>
      <c r="K216" s="119" t="s">
        <v>8</v>
      </c>
      <c r="L216" s="13"/>
    </row>
    <row r="217" spans="1:12" ht="15" customHeight="1">
      <c r="A217" s="50"/>
      <c r="B217" s="33" t="s">
        <v>521</v>
      </c>
      <c r="C217" s="38"/>
      <c r="D217" s="117"/>
      <c r="E217" s="117" t="s">
        <v>541</v>
      </c>
      <c r="F217" s="117"/>
      <c r="G217" s="117"/>
      <c r="H217" s="117"/>
      <c r="I217" s="41"/>
      <c r="J217" s="118">
        <f>3*1*2*2</f>
        <v>12</v>
      </c>
      <c r="K217" s="119" t="s">
        <v>8</v>
      </c>
      <c r="L217" s="13"/>
    </row>
    <row r="218" spans="1:12" ht="15" customHeight="1">
      <c r="A218" s="50"/>
      <c r="B218" s="35"/>
      <c r="C218" s="38"/>
      <c r="D218" s="117"/>
      <c r="E218" s="117"/>
      <c r="F218" s="117"/>
      <c r="G218" s="117"/>
      <c r="H218" s="117"/>
      <c r="I218" s="41"/>
      <c r="J218" s="120">
        <f>SUM(J207:J217)</f>
        <v>593.5</v>
      </c>
      <c r="K218" s="121" t="s">
        <v>8</v>
      </c>
      <c r="L218" s="13"/>
    </row>
    <row r="219" spans="1:12" ht="15" customHeight="1">
      <c r="A219" s="50"/>
      <c r="B219" s="35"/>
      <c r="C219" s="38"/>
      <c r="D219" s="117"/>
      <c r="E219" s="117"/>
      <c r="F219" s="117"/>
      <c r="G219" s="117"/>
      <c r="H219" s="117"/>
      <c r="I219" s="41"/>
      <c r="J219" s="120"/>
      <c r="K219" s="121"/>
      <c r="L219" s="13"/>
    </row>
    <row r="220" spans="1:12" ht="15" customHeight="1">
      <c r="A220" s="50"/>
      <c r="B220" s="35"/>
      <c r="C220" s="38"/>
      <c r="D220" s="117"/>
      <c r="E220" s="117"/>
      <c r="F220" s="117"/>
      <c r="G220" s="117" t="s">
        <v>172</v>
      </c>
      <c r="H220" s="117"/>
      <c r="I220" s="41"/>
      <c r="J220" s="120">
        <f>J204-J218</f>
        <v>2985</v>
      </c>
      <c r="K220" s="121" t="s">
        <v>8</v>
      </c>
      <c r="L220" s="13"/>
    </row>
    <row r="221" spans="1:12" ht="15" customHeight="1">
      <c r="A221" s="8"/>
      <c r="I221" s="8"/>
      <c r="J221" s="8"/>
      <c r="K221" s="8"/>
      <c r="L221" s="13"/>
    </row>
    <row r="222" spans="1:12" ht="15" customHeight="1">
      <c r="A222" s="50"/>
      <c r="B222" s="35" t="s">
        <v>164</v>
      </c>
      <c r="C222" s="38"/>
      <c r="D222" s="117"/>
      <c r="E222" s="117"/>
      <c r="F222" s="117"/>
      <c r="G222" s="117"/>
      <c r="H222" s="117"/>
      <c r="I222" s="41"/>
      <c r="J222" s="118"/>
      <c r="K222" s="119"/>
      <c r="L222" s="13"/>
    </row>
    <row r="223" spans="1:12" ht="15" customHeight="1">
      <c r="A223" s="50"/>
      <c r="B223" s="33" t="s">
        <v>148</v>
      </c>
      <c r="C223" s="38"/>
      <c r="D223" s="117"/>
      <c r="E223" s="117" t="s">
        <v>542</v>
      </c>
      <c r="F223" s="117"/>
      <c r="G223" s="117"/>
      <c r="H223" s="117"/>
      <c r="I223" s="41"/>
      <c r="J223" s="118">
        <f>1*24*10.5</f>
        <v>252</v>
      </c>
      <c r="K223" s="119" t="s">
        <v>8</v>
      </c>
      <c r="L223" s="13"/>
    </row>
    <row r="224" spans="1:12" ht="15" customHeight="1">
      <c r="A224" s="50"/>
      <c r="B224" s="33" t="s">
        <v>72</v>
      </c>
      <c r="C224" s="38"/>
      <c r="D224" s="117"/>
      <c r="E224" s="117" t="s">
        <v>170</v>
      </c>
      <c r="F224" s="117"/>
      <c r="G224" s="117"/>
      <c r="H224" s="117"/>
      <c r="I224" s="41"/>
      <c r="J224" s="118">
        <f>1*17*10.5</f>
        <v>178.5</v>
      </c>
      <c r="K224" s="119" t="s">
        <v>8</v>
      </c>
      <c r="L224" s="13"/>
    </row>
    <row r="225" spans="1:12" ht="15" customHeight="1">
      <c r="A225" s="50"/>
      <c r="B225" s="33" t="s">
        <v>72</v>
      </c>
      <c r="C225" s="38"/>
      <c r="D225" s="117"/>
      <c r="E225" s="117" t="s">
        <v>543</v>
      </c>
      <c r="F225" s="117"/>
      <c r="G225" s="117"/>
      <c r="H225" s="117"/>
      <c r="I225" s="41"/>
      <c r="J225" s="118">
        <f>1*7*10.5</f>
        <v>73.5</v>
      </c>
      <c r="K225" s="119" t="s">
        <v>8</v>
      </c>
      <c r="L225" s="13"/>
    </row>
    <row r="226" spans="1:12" ht="15" customHeight="1">
      <c r="A226" s="50"/>
      <c r="B226" s="33" t="s">
        <v>72</v>
      </c>
      <c r="C226" s="38"/>
      <c r="D226" s="117"/>
      <c r="E226" s="117" t="s">
        <v>544</v>
      </c>
      <c r="F226" s="117"/>
      <c r="G226" s="117"/>
      <c r="H226" s="117"/>
      <c r="I226" s="41"/>
      <c r="J226" s="118">
        <f>2*11.5*10.5</f>
        <v>241.5</v>
      </c>
      <c r="K226" s="119" t="s">
        <v>8</v>
      </c>
      <c r="L226" s="13"/>
    </row>
    <row r="227" spans="1:12" ht="15" customHeight="1">
      <c r="A227" s="50"/>
      <c r="B227" s="33" t="s">
        <v>152</v>
      </c>
      <c r="C227" s="38"/>
      <c r="D227" s="117"/>
      <c r="E227" s="117" t="s">
        <v>545</v>
      </c>
      <c r="F227" s="117"/>
      <c r="G227" s="117"/>
      <c r="H227" s="117"/>
      <c r="I227" s="41"/>
      <c r="J227" s="118">
        <f>2*13*10.5</f>
        <v>273</v>
      </c>
      <c r="K227" s="119" t="s">
        <v>8</v>
      </c>
      <c r="L227" s="13"/>
    </row>
    <row r="228" spans="1:12" ht="15" customHeight="1">
      <c r="A228" s="50"/>
      <c r="B228" s="33" t="s">
        <v>165</v>
      </c>
      <c r="C228" s="38"/>
      <c r="D228" s="117"/>
      <c r="E228" s="117" t="s">
        <v>546</v>
      </c>
      <c r="F228" s="117"/>
      <c r="G228" s="117"/>
      <c r="H228" s="117"/>
      <c r="I228" s="41"/>
      <c r="J228" s="118">
        <f>1*6*10.5</f>
        <v>63</v>
      </c>
      <c r="K228" s="119" t="s">
        <v>8</v>
      </c>
      <c r="L228" s="13"/>
    </row>
    <row r="229" spans="1:12" ht="15" customHeight="1">
      <c r="A229" s="50"/>
      <c r="B229" s="33" t="s">
        <v>165</v>
      </c>
      <c r="C229" s="38"/>
      <c r="D229" s="117"/>
      <c r="E229" s="117" t="s">
        <v>547</v>
      </c>
      <c r="F229" s="117"/>
      <c r="G229" s="117"/>
      <c r="H229" s="117"/>
      <c r="I229" s="41"/>
      <c r="J229" s="118">
        <f>1*8*10.5</f>
        <v>84</v>
      </c>
      <c r="K229" s="119" t="s">
        <v>8</v>
      </c>
      <c r="L229" s="13"/>
    </row>
    <row r="230" spans="1:12" ht="15" customHeight="1">
      <c r="A230" s="50"/>
      <c r="B230" s="33" t="s">
        <v>165</v>
      </c>
      <c r="C230" s="38"/>
      <c r="D230" s="117"/>
      <c r="E230" s="117" t="s">
        <v>548</v>
      </c>
      <c r="F230" s="117"/>
      <c r="G230" s="117"/>
      <c r="H230" s="117"/>
      <c r="I230" s="41"/>
      <c r="J230" s="118">
        <f>1*12*10.5</f>
        <v>126</v>
      </c>
      <c r="K230" s="119" t="s">
        <v>8</v>
      </c>
      <c r="L230" s="13"/>
    </row>
    <row r="231" spans="1:12" ht="15" customHeight="1">
      <c r="A231" s="50"/>
      <c r="B231" s="33" t="s">
        <v>166</v>
      </c>
      <c r="C231" s="38"/>
      <c r="D231" s="117"/>
      <c r="E231" s="117" t="s">
        <v>549</v>
      </c>
      <c r="F231" s="117"/>
      <c r="G231" s="117"/>
      <c r="H231" s="117"/>
      <c r="I231" s="41"/>
      <c r="J231" s="118">
        <f>1*23.5*10.5</f>
        <v>246.75</v>
      </c>
      <c r="K231" s="119" t="s">
        <v>8</v>
      </c>
      <c r="L231" s="13"/>
    </row>
    <row r="232" spans="1:12" ht="15" customHeight="1">
      <c r="A232" s="50"/>
      <c r="B232" s="33" t="s">
        <v>165</v>
      </c>
      <c r="C232" s="38"/>
      <c r="D232" s="117"/>
      <c r="E232" s="8" t="s">
        <v>550</v>
      </c>
      <c r="F232" s="117"/>
      <c r="G232" s="117"/>
      <c r="H232" s="117"/>
      <c r="I232" s="41"/>
      <c r="J232" s="118">
        <f>1*5*10.5</f>
        <v>52.5</v>
      </c>
      <c r="K232" s="119" t="s">
        <v>8</v>
      </c>
      <c r="L232" s="13"/>
    </row>
    <row r="233" spans="1:12" ht="15" customHeight="1">
      <c r="A233" s="50"/>
      <c r="B233" s="33" t="s">
        <v>168</v>
      </c>
      <c r="C233" s="38"/>
      <c r="D233" s="117"/>
      <c r="E233" s="117" t="s">
        <v>169</v>
      </c>
      <c r="F233" s="117"/>
      <c r="G233" s="117"/>
      <c r="H233" s="117"/>
      <c r="I233" s="41"/>
      <c r="J233" s="118">
        <f>1*8.5*10.5</f>
        <v>89.25</v>
      </c>
      <c r="K233" s="119" t="s">
        <v>8</v>
      </c>
      <c r="L233" s="13"/>
    </row>
    <row r="234" spans="1:12" ht="15" customHeight="1">
      <c r="A234" s="50"/>
      <c r="B234" s="33" t="s">
        <v>167</v>
      </c>
      <c r="C234" s="38"/>
      <c r="D234" s="117"/>
      <c r="E234" s="117" t="s">
        <v>553</v>
      </c>
      <c r="F234" s="117"/>
      <c r="G234" s="117"/>
      <c r="H234" s="117"/>
      <c r="I234" s="41"/>
      <c r="J234" s="118">
        <f>1*23*10.5</f>
        <v>241.5</v>
      </c>
      <c r="K234" s="119" t="s">
        <v>8</v>
      </c>
      <c r="L234" s="13"/>
    </row>
    <row r="235" spans="1:12" ht="15" customHeight="1">
      <c r="A235" s="50"/>
      <c r="B235" s="33" t="s">
        <v>165</v>
      </c>
      <c r="C235" s="38"/>
      <c r="D235" s="117"/>
      <c r="E235" s="117" t="s">
        <v>554</v>
      </c>
      <c r="F235" s="117"/>
      <c r="G235" s="117"/>
      <c r="H235" s="117"/>
      <c r="I235" s="41"/>
      <c r="J235" s="118">
        <f>1*14*10.5</f>
        <v>147</v>
      </c>
      <c r="K235" s="119" t="s">
        <v>8</v>
      </c>
      <c r="L235" s="13"/>
    </row>
    <row r="236" spans="1:12" ht="15" customHeight="1">
      <c r="A236" s="50"/>
      <c r="B236" s="33" t="s">
        <v>72</v>
      </c>
      <c r="C236" s="38"/>
      <c r="D236" s="117"/>
      <c r="E236" s="117" t="s">
        <v>555</v>
      </c>
      <c r="F236" s="117"/>
      <c r="G236" s="117"/>
      <c r="H236" s="117"/>
      <c r="I236" s="41"/>
      <c r="J236" s="118">
        <f>1*11.5*10.5</f>
        <v>120.75</v>
      </c>
      <c r="K236" s="119" t="s">
        <v>8</v>
      </c>
      <c r="L236" s="13"/>
    </row>
    <row r="237" spans="1:12" ht="15" customHeight="1">
      <c r="A237" s="50"/>
      <c r="B237" s="33" t="s">
        <v>551</v>
      </c>
      <c r="C237" s="38"/>
      <c r="D237" s="117"/>
      <c r="E237" s="117" t="s">
        <v>556</v>
      </c>
      <c r="F237" s="117"/>
      <c r="G237" s="117"/>
      <c r="H237" s="117"/>
      <c r="I237" s="41"/>
      <c r="J237" s="118">
        <f>2*3.5*10.5</f>
        <v>73.5</v>
      </c>
      <c r="K237" s="119" t="s">
        <v>8</v>
      </c>
      <c r="L237" s="13"/>
    </row>
    <row r="238" spans="1:12" ht="15" customHeight="1">
      <c r="A238" s="50"/>
      <c r="B238" s="33" t="s">
        <v>552</v>
      </c>
      <c r="C238" s="38"/>
      <c r="D238" s="117"/>
      <c r="E238" s="117" t="s">
        <v>557</v>
      </c>
      <c r="F238" s="117"/>
      <c r="G238" s="117"/>
      <c r="H238" s="117"/>
      <c r="I238" s="41"/>
      <c r="J238" s="118">
        <f>1*18*0.58</f>
        <v>10.44</v>
      </c>
      <c r="K238" s="119" t="s">
        <v>8</v>
      </c>
      <c r="L238" s="13"/>
    </row>
    <row r="239" spans="1:12" ht="15" customHeight="1">
      <c r="A239" s="50"/>
      <c r="B239" s="33" t="s">
        <v>158</v>
      </c>
      <c r="C239" s="38"/>
      <c r="D239" s="117"/>
      <c r="E239" s="117" t="s">
        <v>558</v>
      </c>
      <c r="F239" s="117"/>
      <c r="G239" s="117"/>
      <c r="H239" s="117"/>
      <c r="I239" s="41"/>
      <c r="J239" s="118">
        <f>1*14*0.58</f>
        <v>8.1199999999999992</v>
      </c>
      <c r="K239" s="119" t="s">
        <v>8</v>
      </c>
      <c r="L239" s="13"/>
    </row>
    <row r="240" spans="1:12" ht="15" customHeight="1">
      <c r="A240" s="50"/>
      <c r="B240" s="33" t="s">
        <v>159</v>
      </c>
      <c r="C240" s="38"/>
      <c r="D240" s="117"/>
      <c r="E240" s="117" t="s">
        <v>557</v>
      </c>
      <c r="F240" s="117"/>
      <c r="G240" s="117"/>
      <c r="H240" s="117"/>
      <c r="I240" s="41"/>
      <c r="J240" s="118">
        <f>1*18*0.58</f>
        <v>10.44</v>
      </c>
      <c r="K240" s="119" t="s">
        <v>8</v>
      </c>
      <c r="L240" s="13"/>
    </row>
    <row r="241" spans="1:12" ht="15" customHeight="1">
      <c r="A241" s="50"/>
      <c r="B241" s="33" t="s">
        <v>519</v>
      </c>
      <c r="C241" s="38"/>
      <c r="D241" s="117"/>
      <c r="E241" s="117" t="s">
        <v>559</v>
      </c>
      <c r="F241" s="117"/>
      <c r="G241" s="117"/>
      <c r="H241" s="117"/>
      <c r="I241" s="41"/>
      <c r="J241" s="118">
        <f>4*20*0.58</f>
        <v>46.4</v>
      </c>
      <c r="K241" s="119" t="s">
        <v>8</v>
      </c>
      <c r="L241" s="13"/>
    </row>
    <row r="242" spans="1:12" ht="15" customHeight="1">
      <c r="A242" s="50"/>
      <c r="B242" s="33" t="s">
        <v>520</v>
      </c>
      <c r="C242" s="38"/>
      <c r="D242" s="117"/>
      <c r="E242" s="117" t="s">
        <v>560</v>
      </c>
      <c r="F242" s="117"/>
      <c r="G242" s="117"/>
      <c r="H242" s="117"/>
      <c r="I242" s="41"/>
      <c r="J242" s="8">
        <f>3*24*0.58</f>
        <v>41.76</v>
      </c>
      <c r="K242" s="119" t="s">
        <v>8</v>
      </c>
      <c r="L242" s="13"/>
    </row>
    <row r="243" spans="1:12" ht="15" customHeight="1">
      <c r="A243" s="50"/>
      <c r="B243" s="35"/>
      <c r="C243" s="38"/>
      <c r="D243" s="117"/>
      <c r="E243" s="117"/>
      <c r="F243" s="117"/>
      <c r="G243" s="117"/>
      <c r="H243" s="117"/>
      <c r="I243" s="41"/>
      <c r="J243" s="120">
        <f>SUM(J223:J242)</f>
        <v>2379.9100000000003</v>
      </c>
      <c r="K243" s="121" t="s">
        <v>8</v>
      </c>
      <c r="L243" s="13"/>
    </row>
    <row r="244" spans="1:12" ht="15" customHeight="1">
      <c r="A244" s="50"/>
      <c r="B244" s="35" t="s">
        <v>67</v>
      </c>
      <c r="C244" s="38"/>
      <c r="D244" s="117"/>
      <c r="E244" s="117"/>
      <c r="F244" s="117"/>
      <c r="G244" s="117"/>
      <c r="H244" s="117"/>
      <c r="I244" s="41"/>
      <c r="J244" s="118"/>
      <c r="K244" s="119"/>
      <c r="L244" s="13"/>
    </row>
    <row r="245" spans="1:12" ht="15" customHeight="1">
      <c r="A245" s="50"/>
      <c r="B245" s="33" t="s">
        <v>154</v>
      </c>
      <c r="C245" s="38"/>
      <c r="D245" s="117"/>
      <c r="E245" s="117" t="s">
        <v>533</v>
      </c>
      <c r="F245" s="117"/>
      <c r="G245" s="117"/>
      <c r="H245" s="117"/>
      <c r="I245" s="41"/>
      <c r="J245" s="118">
        <f>1*1*3*7</f>
        <v>21</v>
      </c>
      <c r="K245" s="119" t="s">
        <v>8</v>
      </c>
      <c r="L245" s="13"/>
    </row>
    <row r="246" spans="1:12" ht="15" customHeight="1">
      <c r="A246" s="50"/>
      <c r="B246" s="33" t="s">
        <v>156</v>
      </c>
      <c r="C246" s="38"/>
      <c r="D246" s="117"/>
      <c r="E246" s="117" t="s">
        <v>535</v>
      </c>
      <c r="F246" s="117"/>
      <c r="G246" s="117"/>
      <c r="H246" s="117"/>
      <c r="I246" s="41"/>
      <c r="J246" s="118">
        <f>1*1*5*7</f>
        <v>35</v>
      </c>
      <c r="K246" s="119" t="s">
        <v>8</v>
      </c>
      <c r="L246" s="13"/>
    </row>
    <row r="247" spans="1:12" ht="15" customHeight="1">
      <c r="A247" s="50"/>
      <c r="B247" s="33" t="s">
        <v>157</v>
      </c>
      <c r="C247" s="38"/>
      <c r="D247" s="117"/>
      <c r="E247" s="117" t="s">
        <v>536</v>
      </c>
      <c r="F247" s="117"/>
      <c r="G247" s="117"/>
      <c r="H247" s="117"/>
      <c r="I247" s="41"/>
      <c r="J247" s="118">
        <f>1*1*3*6</f>
        <v>18</v>
      </c>
      <c r="K247" s="119" t="s">
        <v>8</v>
      </c>
      <c r="L247" s="13"/>
    </row>
    <row r="248" spans="1:12" ht="15" customHeight="1">
      <c r="A248" s="50"/>
      <c r="B248" s="33" t="s">
        <v>158</v>
      </c>
      <c r="C248" s="38"/>
      <c r="D248" s="117"/>
      <c r="E248" s="117" t="s">
        <v>537</v>
      </c>
      <c r="F248" s="117"/>
      <c r="G248" s="117"/>
      <c r="H248" s="117"/>
      <c r="I248" s="41"/>
      <c r="J248" s="118">
        <f>1*1*4*3.5</f>
        <v>14</v>
      </c>
      <c r="K248" s="119" t="s">
        <v>8</v>
      </c>
      <c r="L248" s="13"/>
    </row>
    <row r="249" spans="1:12" ht="15" customHeight="1">
      <c r="A249" s="50"/>
      <c r="B249" s="33" t="s">
        <v>159</v>
      </c>
      <c r="C249" s="38"/>
      <c r="D249" s="117"/>
      <c r="E249" s="117" t="s">
        <v>538</v>
      </c>
      <c r="F249" s="117"/>
      <c r="G249" s="117"/>
      <c r="H249" s="117"/>
      <c r="I249" s="41"/>
      <c r="J249" s="118">
        <f>1*1*5*4</f>
        <v>20</v>
      </c>
      <c r="K249" s="119" t="s">
        <v>8</v>
      </c>
      <c r="L249" s="13"/>
    </row>
    <row r="250" spans="1:12" ht="15" customHeight="1">
      <c r="A250" s="50"/>
      <c r="B250" s="33" t="s">
        <v>519</v>
      </c>
      <c r="C250" s="38"/>
      <c r="D250" s="117"/>
      <c r="E250" s="117" t="s">
        <v>539</v>
      </c>
      <c r="F250" s="117"/>
      <c r="G250" s="117"/>
      <c r="H250" s="117"/>
      <c r="I250" s="41"/>
      <c r="J250" s="118">
        <f>4*1*6*4</f>
        <v>96</v>
      </c>
      <c r="K250" s="119" t="s">
        <v>8</v>
      </c>
      <c r="L250" s="13"/>
    </row>
    <row r="251" spans="1:12" ht="15" customHeight="1">
      <c r="A251" s="50"/>
      <c r="B251" s="33" t="s">
        <v>520</v>
      </c>
      <c r="C251" s="38"/>
      <c r="D251" s="117"/>
      <c r="E251" s="117" t="s">
        <v>540</v>
      </c>
      <c r="F251" s="117"/>
      <c r="G251" s="117"/>
      <c r="H251" s="117"/>
      <c r="I251" s="41"/>
      <c r="J251" s="118">
        <f>3*1*6*6</f>
        <v>108</v>
      </c>
      <c r="K251" s="119" t="s">
        <v>8</v>
      </c>
      <c r="L251" s="13"/>
    </row>
    <row r="252" spans="1:12" ht="15" customHeight="1">
      <c r="A252" s="50"/>
      <c r="B252" s="33" t="s">
        <v>521</v>
      </c>
      <c r="C252" s="38"/>
      <c r="D252" s="117"/>
      <c r="E252" s="117" t="s">
        <v>541</v>
      </c>
      <c r="F252" s="117"/>
      <c r="G252" s="117"/>
      <c r="H252" s="117"/>
      <c r="I252" s="41"/>
      <c r="J252" s="118">
        <f>3*1*2*2</f>
        <v>12</v>
      </c>
      <c r="K252" s="119" t="s">
        <v>8</v>
      </c>
      <c r="L252" s="13"/>
    </row>
    <row r="253" spans="1:12" ht="15" customHeight="1">
      <c r="A253" s="50"/>
      <c r="B253" s="35"/>
      <c r="C253" s="38"/>
      <c r="D253" s="117"/>
      <c r="E253" s="117"/>
      <c r="F253" s="117"/>
      <c r="G253" s="117"/>
      <c r="H253" s="117"/>
      <c r="I253" s="41"/>
      <c r="J253" s="120">
        <f>SUM(J245:J252)</f>
        <v>324</v>
      </c>
      <c r="K253" s="121" t="s">
        <v>8</v>
      </c>
      <c r="L253" s="13"/>
    </row>
    <row r="254" spans="1:12" ht="15" customHeight="1">
      <c r="A254" s="50"/>
      <c r="B254" s="35"/>
      <c r="C254" s="38"/>
      <c r="D254" s="117"/>
      <c r="E254" s="117"/>
      <c r="F254" s="117"/>
      <c r="G254" s="117"/>
      <c r="H254" s="117"/>
      <c r="I254" s="41"/>
      <c r="J254" s="118"/>
      <c r="K254" s="119"/>
      <c r="L254" s="13"/>
    </row>
    <row r="255" spans="1:12" ht="15" customHeight="1">
      <c r="A255" s="50"/>
      <c r="B255" s="35"/>
      <c r="C255" s="38"/>
      <c r="D255" s="117"/>
      <c r="E255" s="117"/>
      <c r="F255" s="117"/>
      <c r="G255" s="117" t="s">
        <v>171</v>
      </c>
      <c r="H255" s="117"/>
      <c r="I255" s="41"/>
      <c r="J255" s="120">
        <f>J243-J253</f>
        <v>2055.9100000000003</v>
      </c>
      <c r="K255" s="121" t="s">
        <v>8</v>
      </c>
      <c r="L255" s="13"/>
    </row>
    <row r="256" spans="1:12" ht="15" customHeight="1">
      <c r="A256" s="50"/>
      <c r="B256" s="35"/>
      <c r="C256" s="38"/>
      <c r="D256" s="117"/>
      <c r="E256" s="117"/>
      <c r="F256" s="117"/>
      <c r="G256" s="117"/>
      <c r="H256" s="117"/>
      <c r="I256" s="41"/>
      <c r="J256" s="118"/>
      <c r="K256" s="119"/>
      <c r="L256" s="13"/>
    </row>
    <row r="257" spans="1:12" ht="15" customHeight="1">
      <c r="A257" s="50"/>
      <c r="B257" s="35"/>
      <c r="C257" s="38"/>
      <c r="D257" s="117"/>
      <c r="E257" s="117"/>
      <c r="F257" s="117"/>
      <c r="G257" s="117" t="s">
        <v>88</v>
      </c>
      <c r="H257" s="117"/>
      <c r="I257" s="41"/>
      <c r="J257" s="120">
        <f>J220+J255</f>
        <v>5040.91</v>
      </c>
      <c r="K257" s="121" t="s">
        <v>8</v>
      </c>
      <c r="L257" s="13"/>
    </row>
    <row r="258" spans="1:12" ht="15" customHeight="1">
      <c r="L258" s="13"/>
    </row>
    <row r="259" spans="1:12" ht="15" customHeight="1">
      <c r="A259" s="4">
        <v>5</v>
      </c>
      <c r="B259" s="51" t="s">
        <v>173</v>
      </c>
      <c r="C259" s="38"/>
      <c r="D259" s="117"/>
      <c r="E259" s="117"/>
      <c r="F259" s="117"/>
      <c r="G259" s="117"/>
      <c r="H259" s="117"/>
      <c r="I259" s="41"/>
      <c r="J259" s="118"/>
      <c r="K259" s="119"/>
      <c r="L259" s="13"/>
    </row>
    <row r="260" spans="1:12" ht="15" customHeight="1">
      <c r="A260" s="50"/>
      <c r="B260" s="35" t="s">
        <v>153</v>
      </c>
      <c r="C260" s="38"/>
      <c r="D260" s="117"/>
      <c r="E260" s="117" t="s">
        <v>561</v>
      </c>
      <c r="F260" s="117"/>
      <c r="G260" s="117"/>
      <c r="H260" s="117"/>
      <c r="I260" s="41"/>
      <c r="J260" s="118">
        <f>3*16.5</f>
        <v>49.5</v>
      </c>
      <c r="K260" s="119" t="s">
        <v>174</v>
      </c>
      <c r="L260" s="13"/>
    </row>
    <row r="261" spans="1:12" ht="15" customHeight="1">
      <c r="A261" s="50"/>
      <c r="B261" s="35" t="s">
        <v>154</v>
      </c>
      <c r="C261" s="38"/>
      <c r="D261" s="117"/>
      <c r="E261" s="117" t="s">
        <v>562</v>
      </c>
      <c r="F261" s="117"/>
      <c r="G261" s="117"/>
      <c r="H261" s="117"/>
      <c r="I261" s="41"/>
      <c r="J261" s="118">
        <f>5*17</f>
        <v>85</v>
      </c>
      <c r="K261" s="119" t="s">
        <v>174</v>
      </c>
      <c r="L261" s="13"/>
    </row>
    <row r="262" spans="1:12" ht="15" customHeight="1">
      <c r="A262" s="50"/>
      <c r="B262" s="35" t="s">
        <v>155</v>
      </c>
      <c r="C262" s="38"/>
      <c r="D262" s="117"/>
      <c r="E262" s="117" t="s">
        <v>563</v>
      </c>
      <c r="F262" s="117"/>
      <c r="G262" s="117"/>
      <c r="H262" s="117"/>
      <c r="I262" s="41"/>
      <c r="J262" s="118">
        <f>1*17.5</f>
        <v>17.5</v>
      </c>
      <c r="K262" s="119" t="s">
        <v>174</v>
      </c>
      <c r="L262" s="13"/>
    </row>
    <row r="263" spans="1:12" ht="15" customHeight="1">
      <c r="A263" s="50"/>
      <c r="B263" s="35" t="s">
        <v>156</v>
      </c>
      <c r="C263" s="38"/>
      <c r="D263" s="117"/>
      <c r="E263" s="117" t="s">
        <v>564</v>
      </c>
      <c r="F263" s="117"/>
      <c r="G263" s="117"/>
      <c r="H263" s="117"/>
      <c r="I263" s="41"/>
      <c r="J263" s="118">
        <v>19</v>
      </c>
      <c r="K263" s="119" t="s">
        <v>174</v>
      </c>
      <c r="L263" s="13"/>
    </row>
    <row r="264" spans="1:12" ht="15" customHeight="1">
      <c r="A264" s="50"/>
      <c r="B264" s="35"/>
      <c r="C264" s="38"/>
      <c r="D264" s="117"/>
      <c r="E264" s="117"/>
      <c r="F264" s="117"/>
      <c r="G264" s="117"/>
      <c r="H264" s="117"/>
      <c r="I264" s="41"/>
      <c r="J264" s="120">
        <f>SUM(J260:J263)</f>
        <v>171</v>
      </c>
      <c r="K264" s="121" t="s">
        <v>174</v>
      </c>
      <c r="L264" s="13"/>
    </row>
    <row r="265" spans="1:12" ht="15" customHeight="1">
      <c r="L265" s="13"/>
    </row>
    <row r="266" spans="1:12" ht="15" customHeight="1">
      <c r="A266" s="50">
        <v>6</v>
      </c>
      <c r="B266" s="35" t="s">
        <v>175</v>
      </c>
      <c r="C266" s="38"/>
      <c r="D266" s="117"/>
      <c r="E266" s="117"/>
      <c r="F266" s="117"/>
      <c r="G266" s="117"/>
      <c r="H266" s="117"/>
      <c r="I266" s="41"/>
      <c r="J266" s="118"/>
      <c r="K266" s="119"/>
      <c r="L266" s="13"/>
    </row>
    <row r="267" spans="1:12" ht="15" customHeight="1">
      <c r="A267" s="50"/>
      <c r="B267" s="35" t="s">
        <v>153</v>
      </c>
      <c r="C267" s="38"/>
      <c r="D267" s="117"/>
      <c r="E267" s="117" t="s">
        <v>565</v>
      </c>
      <c r="F267" s="117"/>
      <c r="G267" s="117"/>
      <c r="H267" s="117"/>
      <c r="I267" s="41"/>
      <c r="J267" s="118">
        <f>3*2.5*7</f>
        <v>52.5</v>
      </c>
      <c r="K267" s="119" t="s">
        <v>176</v>
      </c>
      <c r="L267" s="13"/>
    </row>
    <row r="268" spans="1:12" ht="15" customHeight="1">
      <c r="A268" s="50"/>
      <c r="B268" s="35" t="s">
        <v>154</v>
      </c>
      <c r="C268" s="38"/>
      <c r="D268" s="117"/>
      <c r="E268" s="117" t="s">
        <v>566</v>
      </c>
      <c r="F268" s="117"/>
      <c r="G268" s="117"/>
      <c r="H268" s="117"/>
      <c r="I268" s="41"/>
      <c r="J268" s="118">
        <f>5*3*7</f>
        <v>105</v>
      </c>
      <c r="K268" s="119" t="s">
        <v>176</v>
      </c>
      <c r="L268" s="13"/>
    </row>
    <row r="269" spans="1:12" ht="15" customHeight="1">
      <c r="A269" s="50"/>
      <c r="B269" s="35" t="s">
        <v>155</v>
      </c>
      <c r="C269" s="38"/>
      <c r="D269" s="117"/>
      <c r="E269" s="117" t="s">
        <v>567</v>
      </c>
      <c r="F269" s="117"/>
      <c r="G269" s="117"/>
      <c r="H269" s="117"/>
      <c r="I269" s="41"/>
      <c r="J269" s="118">
        <f>1*3.5*7</f>
        <v>24.5</v>
      </c>
      <c r="K269" s="119" t="s">
        <v>176</v>
      </c>
      <c r="L269" s="13"/>
    </row>
    <row r="270" spans="1:12" ht="15" customHeight="1">
      <c r="A270" s="50"/>
      <c r="B270" s="35" t="s">
        <v>156</v>
      </c>
      <c r="C270" s="38"/>
      <c r="D270" s="117"/>
      <c r="E270" s="8" t="s">
        <v>177</v>
      </c>
      <c r="F270" s="117"/>
      <c r="G270" s="117"/>
      <c r="H270" s="117"/>
      <c r="I270" s="41"/>
      <c r="J270" s="118">
        <f>1*5*7</f>
        <v>35</v>
      </c>
      <c r="K270" s="119" t="s">
        <v>176</v>
      </c>
      <c r="L270" s="13"/>
    </row>
    <row r="271" spans="1:12" ht="15" customHeight="1">
      <c r="A271" s="50"/>
      <c r="B271" s="35"/>
      <c r="C271" s="38"/>
      <c r="D271" s="117"/>
      <c r="E271" s="117"/>
      <c r="F271" s="117"/>
      <c r="G271" s="117"/>
      <c r="H271" s="117"/>
      <c r="I271" s="41"/>
      <c r="J271" s="120">
        <f>SUM(J267:J270)</f>
        <v>217</v>
      </c>
      <c r="K271" s="121" t="s">
        <v>176</v>
      </c>
      <c r="L271" s="13"/>
    </row>
    <row r="272" spans="1:12" ht="15" customHeight="1">
      <c r="L272" s="13"/>
    </row>
    <row r="273" spans="1:12" ht="15" customHeight="1">
      <c r="A273" s="50">
        <v>7</v>
      </c>
      <c r="B273" s="35" t="s">
        <v>178</v>
      </c>
      <c r="C273" s="38"/>
      <c r="D273" s="117"/>
      <c r="E273" s="117"/>
      <c r="F273" s="117"/>
      <c r="G273" s="117"/>
      <c r="H273" s="117"/>
      <c r="I273" s="41"/>
      <c r="J273" s="118"/>
      <c r="K273" s="119"/>
      <c r="L273" s="13"/>
    </row>
    <row r="274" spans="1:12" ht="15" customHeight="1">
      <c r="A274" s="50"/>
      <c r="B274" s="35" t="s">
        <v>153</v>
      </c>
      <c r="C274" s="38"/>
      <c r="D274" s="117"/>
      <c r="E274" s="117" t="s">
        <v>568</v>
      </c>
      <c r="F274" s="117"/>
      <c r="G274" s="117"/>
      <c r="H274" s="117"/>
      <c r="I274" s="41"/>
      <c r="J274" s="118">
        <f>3*2*16.5</f>
        <v>99</v>
      </c>
      <c r="K274" s="119" t="s">
        <v>176</v>
      </c>
      <c r="L274" s="13"/>
    </row>
    <row r="275" spans="1:12" ht="15" customHeight="1">
      <c r="A275" s="50"/>
      <c r="B275" s="35" t="s">
        <v>154</v>
      </c>
      <c r="C275" s="38"/>
      <c r="D275" s="117"/>
      <c r="E275" s="117" t="s">
        <v>569</v>
      </c>
      <c r="F275" s="117"/>
      <c r="G275" s="117"/>
      <c r="H275" s="117"/>
      <c r="I275" s="41"/>
      <c r="J275" s="118">
        <f>5*2*17</f>
        <v>170</v>
      </c>
      <c r="K275" s="119" t="s">
        <v>176</v>
      </c>
      <c r="L275" s="13"/>
    </row>
    <row r="276" spans="1:12" ht="15" customHeight="1">
      <c r="A276" s="50"/>
      <c r="B276" s="35" t="s">
        <v>155</v>
      </c>
      <c r="C276" s="38"/>
      <c r="D276" s="117"/>
      <c r="E276" s="117" t="s">
        <v>570</v>
      </c>
      <c r="F276" s="117"/>
      <c r="G276" s="117"/>
      <c r="H276" s="117"/>
      <c r="I276" s="41"/>
      <c r="J276" s="118">
        <f>1*2*17.5</f>
        <v>35</v>
      </c>
      <c r="K276" s="119" t="s">
        <v>176</v>
      </c>
      <c r="L276" s="13"/>
    </row>
    <row r="277" spans="1:12" ht="15" customHeight="1">
      <c r="A277" s="50"/>
      <c r="B277" s="35" t="s">
        <v>156</v>
      </c>
      <c r="C277" s="38"/>
      <c r="D277" s="117"/>
      <c r="E277" s="117" t="s">
        <v>571</v>
      </c>
      <c r="F277" s="117"/>
      <c r="G277" s="117"/>
      <c r="H277" s="117"/>
      <c r="I277" s="41"/>
      <c r="J277" s="118">
        <f>1*2*19</f>
        <v>38</v>
      </c>
      <c r="K277" s="119" t="s">
        <v>176</v>
      </c>
      <c r="L277" s="32"/>
    </row>
    <row r="278" spans="1:12" ht="15" customHeight="1">
      <c r="A278" s="50"/>
      <c r="B278" s="35"/>
      <c r="C278" s="38"/>
      <c r="D278" s="117"/>
      <c r="E278" s="117"/>
      <c r="F278" s="117"/>
      <c r="G278" s="117"/>
      <c r="H278" s="117"/>
      <c r="I278" s="41"/>
      <c r="J278" s="120">
        <f>SUM(J274:J277)</f>
        <v>342</v>
      </c>
      <c r="K278" s="121" t="s">
        <v>176</v>
      </c>
      <c r="L278" s="13"/>
    </row>
    <row r="279" spans="1:12" ht="15" customHeight="1">
      <c r="A279" s="50"/>
      <c r="B279" s="35"/>
      <c r="C279" s="38"/>
      <c r="D279" s="117"/>
      <c r="E279" s="117"/>
      <c r="F279" s="117"/>
      <c r="G279" s="117"/>
      <c r="H279" s="117"/>
      <c r="I279" s="41"/>
      <c r="J279" s="118"/>
      <c r="K279" s="119"/>
      <c r="L279" s="13"/>
    </row>
    <row r="280" spans="1:12" ht="15" customHeight="1">
      <c r="A280" s="50">
        <v>8</v>
      </c>
      <c r="B280" s="35" t="s">
        <v>179</v>
      </c>
      <c r="C280" s="38"/>
      <c r="D280" s="117"/>
      <c r="E280" s="117"/>
      <c r="F280" s="117"/>
      <c r="G280" s="117"/>
      <c r="H280" s="117"/>
      <c r="I280" s="41"/>
      <c r="J280" s="118"/>
      <c r="K280" s="119"/>
      <c r="L280" s="13"/>
    </row>
    <row r="281" spans="1:12" ht="15" customHeight="1">
      <c r="A281" s="50"/>
      <c r="B281" s="35" t="s">
        <v>154</v>
      </c>
      <c r="C281" s="38"/>
      <c r="D281" s="117"/>
      <c r="E281" s="117" t="s">
        <v>572</v>
      </c>
      <c r="F281" s="117"/>
      <c r="G281" s="117"/>
      <c r="H281" s="117"/>
      <c r="I281" s="41"/>
      <c r="J281" s="125">
        <v>5</v>
      </c>
      <c r="K281" s="119" t="s">
        <v>180</v>
      </c>
      <c r="L281" s="13"/>
    </row>
    <row r="282" spans="1:12" ht="15" customHeight="1">
      <c r="A282" s="50"/>
      <c r="B282" s="35" t="s">
        <v>155</v>
      </c>
      <c r="C282" s="38"/>
      <c r="D282" s="117"/>
      <c r="E282" s="117" t="s">
        <v>205</v>
      </c>
      <c r="F282" s="117"/>
      <c r="G282" s="117"/>
      <c r="H282" s="117"/>
      <c r="I282" s="41"/>
      <c r="J282" s="125">
        <v>1</v>
      </c>
      <c r="K282" s="119" t="s">
        <v>180</v>
      </c>
      <c r="L282" s="13"/>
    </row>
    <row r="283" spans="1:12" ht="15" customHeight="1">
      <c r="A283" s="50"/>
      <c r="B283" s="35" t="s">
        <v>156</v>
      </c>
      <c r="C283" s="38"/>
      <c r="D283" s="117"/>
      <c r="E283" s="117" t="s">
        <v>205</v>
      </c>
      <c r="F283" s="117"/>
      <c r="G283" s="117"/>
      <c r="H283" s="117"/>
      <c r="I283" s="41"/>
      <c r="J283" s="125">
        <v>1</v>
      </c>
      <c r="K283" s="119" t="s">
        <v>180</v>
      </c>
      <c r="L283" s="13"/>
    </row>
    <row r="284" spans="1:12" ht="15" customHeight="1">
      <c r="A284" s="50"/>
      <c r="B284" s="35"/>
      <c r="C284" s="38"/>
      <c r="D284" s="117"/>
      <c r="E284" s="117"/>
      <c r="F284" s="117"/>
      <c r="G284" s="117"/>
      <c r="H284" s="117"/>
      <c r="I284" s="41"/>
      <c r="J284" s="126">
        <f>SUM(J281:J283)</f>
        <v>7</v>
      </c>
      <c r="K284" s="121" t="s">
        <v>180</v>
      </c>
      <c r="L284" s="13"/>
    </row>
    <row r="285" spans="1:12" ht="15" customHeight="1">
      <c r="A285" s="50"/>
      <c r="B285" s="35"/>
      <c r="C285" s="38"/>
      <c r="D285" s="117"/>
      <c r="E285" s="117"/>
      <c r="F285" s="117"/>
      <c r="G285" s="117"/>
      <c r="H285" s="117"/>
      <c r="I285" s="41"/>
      <c r="J285" s="118"/>
      <c r="K285" s="119"/>
    </row>
    <row r="286" spans="1:12" ht="15" customHeight="1">
      <c r="A286" s="50">
        <v>9</v>
      </c>
      <c r="B286" s="35" t="s">
        <v>181</v>
      </c>
      <c r="C286" s="38"/>
      <c r="D286" s="117"/>
      <c r="E286" s="117"/>
      <c r="F286" s="117"/>
      <c r="G286" s="117"/>
      <c r="H286" s="117"/>
      <c r="I286" s="41"/>
      <c r="J286" s="118"/>
      <c r="K286" s="119"/>
    </row>
    <row r="287" spans="1:12" ht="15" customHeight="1">
      <c r="A287" s="50"/>
      <c r="B287" s="35" t="s">
        <v>182</v>
      </c>
      <c r="C287" s="38"/>
      <c r="D287" s="117"/>
      <c r="E287" s="117" t="s">
        <v>573</v>
      </c>
      <c r="F287" s="117"/>
      <c r="G287" s="117"/>
      <c r="H287" s="117"/>
      <c r="I287" s="41"/>
      <c r="J287" s="118">
        <f>1*54*32.25</f>
        <v>1741.5</v>
      </c>
      <c r="K287" s="119" t="s">
        <v>8</v>
      </c>
    </row>
    <row r="288" spans="1:12" ht="15" customHeight="1">
      <c r="A288" s="50"/>
      <c r="B288" s="35"/>
      <c r="C288" s="38"/>
      <c r="D288" s="117"/>
      <c r="E288" s="117"/>
      <c r="F288" s="117"/>
      <c r="G288" s="117"/>
      <c r="H288" s="117"/>
      <c r="I288" s="41"/>
      <c r="J288" s="118"/>
      <c r="K288" s="119"/>
    </row>
    <row r="289" spans="1:12" ht="15" customHeight="1">
      <c r="A289" s="50"/>
      <c r="B289" s="35" t="s">
        <v>67</v>
      </c>
      <c r="C289" s="38"/>
      <c r="D289" s="117"/>
      <c r="E289" s="117"/>
      <c r="F289" s="117"/>
      <c r="G289" s="117"/>
      <c r="H289" s="117"/>
      <c r="I289" s="41"/>
      <c r="J289" s="118"/>
      <c r="K289" s="119"/>
      <c r="L289" s="13"/>
    </row>
    <row r="290" spans="1:12" ht="15" customHeight="1">
      <c r="A290" s="50"/>
      <c r="B290" s="35" t="s">
        <v>183</v>
      </c>
      <c r="C290" s="38"/>
      <c r="D290" s="117"/>
      <c r="E290" s="117" t="s">
        <v>574</v>
      </c>
      <c r="F290" s="117"/>
      <c r="G290" s="117"/>
      <c r="H290" s="117"/>
      <c r="I290" s="41"/>
      <c r="J290" s="118">
        <v>42</v>
      </c>
      <c r="K290" s="119" t="s">
        <v>8</v>
      </c>
      <c r="L290" s="13"/>
    </row>
    <row r="291" spans="1:12" ht="15" customHeight="1">
      <c r="A291" s="50"/>
      <c r="B291" s="35" t="s">
        <v>98</v>
      </c>
      <c r="C291" s="38"/>
      <c r="D291" s="117"/>
      <c r="E291" s="117" t="s">
        <v>575</v>
      </c>
      <c r="F291" s="117"/>
      <c r="G291" s="117"/>
      <c r="H291" s="117"/>
      <c r="I291" s="41"/>
      <c r="J291" s="118">
        <v>81</v>
      </c>
      <c r="K291" s="119" t="s">
        <v>8</v>
      </c>
      <c r="L291" s="13"/>
    </row>
    <row r="292" spans="1:12" ht="15" customHeight="1">
      <c r="A292" s="50"/>
      <c r="B292" s="35" t="s">
        <v>98</v>
      </c>
      <c r="C292" s="38"/>
      <c r="D292" s="117"/>
      <c r="E292" s="117" t="s">
        <v>576</v>
      </c>
      <c r="F292" s="117"/>
      <c r="G292" s="117"/>
      <c r="H292" s="117"/>
      <c r="I292" s="41"/>
      <c r="J292" s="118">
        <v>114</v>
      </c>
      <c r="K292" s="119" t="s">
        <v>8</v>
      </c>
      <c r="L292" s="13"/>
    </row>
    <row r="293" spans="1:12" ht="15" customHeight="1">
      <c r="A293" s="50"/>
      <c r="B293" s="35"/>
      <c r="C293" s="38"/>
      <c r="D293" s="117"/>
      <c r="E293" s="117"/>
      <c r="F293" s="117"/>
      <c r="G293" s="117"/>
      <c r="H293" s="117"/>
      <c r="I293" s="41"/>
      <c r="J293" s="118">
        <f>SUM(J290:J292)</f>
        <v>237</v>
      </c>
      <c r="K293" s="119" t="s">
        <v>8</v>
      </c>
      <c r="L293" s="13"/>
    </row>
    <row r="294" spans="1:12" ht="15" customHeight="1">
      <c r="A294" s="50"/>
      <c r="B294" s="35"/>
      <c r="C294" s="38"/>
      <c r="D294" s="117"/>
      <c r="E294" s="117"/>
      <c r="F294" s="117"/>
      <c r="G294" s="117"/>
      <c r="H294" s="117"/>
      <c r="I294" s="41"/>
      <c r="J294" s="118"/>
      <c r="K294" s="119"/>
      <c r="L294" s="13"/>
    </row>
    <row r="295" spans="1:12" ht="15" customHeight="1">
      <c r="A295" s="50"/>
      <c r="B295" s="35"/>
      <c r="C295" s="38"/>
      <c r="D295" s="117"/>
      <c r="E295" s="117"/>
      <c r="F295" s="117"/>
      <c r="G295" s="117"/>
      <c r="H295" s="117"/>
      <c r="I295" s="41" t="s">
        <v>184</v>
      </c>
      <c r="J295" s="118">
        <f>J287-J293</f>
        <v>1504.5</v>
      </c>
      <c r="K295" s="119" t="s">
        <v>8</v>
      </c>
      <c r="L295" s="13"/>
    </row>
    <row r="296" spans="1:12" ht="15" customHeight="1">
      <c r="L296" s="13"/>
    </row>
    <row r="297" spans="1:12" ht="15" customHeight="1">
      <c r="A297" s="50">
        <v>10</v>
      </c>
      <c r="B297" s="35" t="s">
        <v>185</v>
      </c>
      <c r="C297" s="38"/>
      <c r="D297" s="117"/>
      <c r="E297" s="117"/>
      <c r="F297" s="117"/>
      <c r="G297" s="117"/>
      <c r="H297" s="117"/>
      <c r="I297" s="41"/>
      <c r="J297" s="118"/>
      <c r="K297" s="119"/>
      <c r="L297" s="13"/>
    </row>
    <row r="298" spans="1:12" ht="15" customHeight="1">
      <c r="A298" s="50"/>
      <c r="B298" s="35" t="s">
        <v>577</v>
      </c>
      <c r="C298" s="38"/>
      <c r="D298" s="117"/>
      <c r="E298" s="117" t="s">
        <v>118</v>
      </c>
      <c r="F298" s="117"/>
      <c r="G298" s="117"/>
      <c r="H298" s="117"/>
      <c r="I298" s="41"/>
      <c r="J298" s="118">
        <f>1*16*12</f>
        <v>192</v>
      </c>
      <c r="K298" s="119" t="s">
        <v>8</v>
      </c>
      <c r="L298" s="13"/>
    </row>
    <row r="299" spans="1:12" ht="15" customHeight="1">
      <c r="A299" s="50"/>
      <c r="B299" s="35" t="s">
        <v>578</v>
      </c>
      <c r="C299" s="38"/>
      <c r="D299" s="117"/>
      <c r="E299" s="117" t="s">
        <v>450</v>
      </c>
      <c r="F299" s="117"/>
      <c r="G299" s="117"/>
      <c r="H299" s="117"/>
      <c r="I299" s="41"/>
      <c r="J299" s="118">
        <f>1*15*11</f>
        <v>165</v>
      </c>
      <c r="K299" s="119" t="s">
        <v>8</v>
      </c>
      <c r="L299" s="13"/>
    </row>
    <row r="300" spans="1:12" ht="15" customHeight="1">
      <c r="A300" s="50"/>
      <c r="B300" s="35" t="s">
        <v>98</v>
      </c>
      <c r="C300" s="38"/>
      <c r="D300" s="117"/>
      <c r="E300" s="117" t="s">
        <v>118</v>
      </c>
      <c r="F300" s="117"/>
      <c r="G300" s="117"/>
      <c r="H300" s="117"/>
      <c r="I300" s="41"/>
      <c r="J300" s="118">
        <f>1*16*12</f>
        <v>192</v>
      </c>
      <c r="K300" s="119" t="s">
        <v>8</v>
      </c>
      <c r="L300" s="13"/>
    </row>
    <row r="301" spans="1:12" ht="15" customHeight="1">
      <c r="A301" s="50"/>
      <c r="B301" s="35" t="s">
        <v>98</v>
      </c>
      <c r="C301" s="38"/>
      <c r="D301" s="117"/>
      <c r="E301" s="117" t="s">
        <v>451</v>
      </c>
      <c r="F301" s="117"/>
      <c r="G301" s="117"/>
      <c r="H301" s="117"/>
      <c r="I301" s="41"/>
      <c r="J301" s="118">
        <f>1*16*11</f>
        <v>176</v>
      </c>
      <c r="K301" s="119" t="s">
        <v>8</v>
      </c>
      <c r="L301" s="13"/>
    </row>
    <row r="302" spans="1:12" ht="15" customHeight="1">
      <c r="A302" s="50"/>
      <c r="B302" s="35" t="s">
        <v>120</v>
      </c>
      <c r="C302" s="38"/>
      <c r="D302" s="117"/>
      <c r="E302" s="117" t="s">
        <v>453</v>
      </c>
      <c r="F302" s="117"/>
      <c r="G302" s="117"/>
      <c r="H302" s="117"/>
      <c r="I302" s="41"/>
      <c r="J302" s="118">
        <f>1*14*16</f>
        <v>224</v>
      </c>
      <c r="K302" s="119" t="s">
        <v>8</v>
      </c>
      <c r="L302" s="13"/>
    </row>
    <row r="303" spans="1:12" ht="15" customHeight="1">
      <c r="A303" s="50"/>
      <c r="B303" s="35" t="s">
        <v>579</v>
      </c>
      <c r="C303" s="38"/>
      <c r="D303" s="117"/>
      <c r="E303" s="117" t="s">
        <v>454</v>
      </c>
      <c r="F303" s="117"/>
      <c r="G303" s="117"/>
      <c r="H303" s="117"/>
      <c r="I303" s="41"/>
      <c r="J303" s="118">
        <f>1*5.5*10.5</f>
        <v>57.75</v>
      </c>
      <c r="K303" s="119" t="s">
        <v>8</v>
      </c>
      <c r="L303" s="13"/>
    </row>
    <row r="304" spans="1:12" ht="15" customHeight="1">
      <c r="A304" s="50"/>
      <c r="B304" s="35" t="s">
        <v>121</v>
      </c>
      <c r="C304" s="38"/>
      <c r="D304" s="117"/>
      <c r="E304" s="117" t="s">
        <v>452</v>
      </c>
      <c r="F304" s="117"/>
      <c r="G304" s="117"/>
      <c r="H304" s="117"/>
      <c r="I304" s="41"/>
      <c r="J304" s="118">
        <f>1*11*8</f>
        <v>88</v>
      </c>
      <c r="K304" s="119" t="s">
        <v>8</v>
      </c>
      <c r="L304" s="13"/>
    </row>
    <row r="305" spans="1:12" ht="15" customHeight="1">
      <c r="A305" s="50"/>
      <c r="B305" s="35" t="s">
        <v>162</v>
      </c>
      <c r="C305" s="38"/>
      <c r="D305" s="117"/>
      <c r="E305" s="117" t="s">
        <v>455</v>
      </c>
      <c r="F305" s="117"/>
      <c r="G305" s="117"/>
      <c r="H305" s="117"/>
      <c r="I305" s="41"/>
      <c r="J305" s="118">
        <f>2*7.5*5.25</f>
        <v>78.75</v>
      </c>
      <c r="K305" s="119" t="s">
        <v>8</v>
      </c>
      <c r="L305" s="13"/>
    </row>
    <row r="306" spans="1:12" ht="15" customHeight="1">
      <c r="A306" s="50"/>
      <c r="B306" s="35" t="s">
        <v>162</v>
      </c>
      <c r="C306" s="38"/>
      <c r="D306" s="117"/>
      <c r="E306" s="117" t="s">
        <v>580</v>
      </c>
      <c r="F306" s="117"/>
      <c r="G306" s="117"/>
      <c r="H306" s="117"/>
      <c r="I306" s="41"/>
      <c r="J306" s="118">
        <f>1*5.25*7.5</f>
        <v>39.375</v>
      </c>
      <c r="K306" s="119" t="s">
        <v>8</v>
      </c>
      <c r="L306" s="13"/>
    </row>
    <row r="307" spans="1:12" ht="15" customHeight="1">
      <c r="A307" s="50"/>
      <c r="B307" s="35"/>
      <c r="C307" s="38"/>
      <c r="D307" s="117"/>
      <c r="E307" s="117"/>
      <c r="F307" s="117"/>
      <c r="G307" s="117"/>
      <c r="H307" s="117"/>
      <c r="I307" s="41"/>
      <c r="J307" s="120">
        <f>SUM(J298:J306)</f>
        <v>1212.875</v>
      </c>
      <c r="K307" s="121" t="s">
        <v>8</v>
      </c>
      <c r="L307" s="13"/>
    </row>
    <row r="308" spans="1:12" ht="15" customHeight="1">
      <c r="A308" s="50">
        <v>11</v>
      </c>
      <c r="B308" s="35" t="s">
        <v>187</v>
      </c>
      <c r="C308" s="38"/>
      <c r="D308" s="117"/>
      <c r="E308" s="117"/>
      <c r="F308" s="117"/>
      <c r="G308" s="117"/>
      <c r="H308" s="117"/>
      <c r="I308" s="41"/>
      <c r="J308" s="118"/>
      <c r="K308" s="119"/>
      <c r="L308" s="13"/>
    </row>
    <row r="309" spans="1:12" ht="15" customHeight="1">
      <c r="A309" s="50"/>
      <c r="B309" s="35"/>
      <c r="C309" s="38"/>
      <c r="D309" s="117"/>
      <c r="E309" s="117" t="s">
        <v>188</v>
      </c>
      <c r="F309" s="117"/>
      <c r="G309" s="117"/>
      <c r="H309" s="117"/>
      <c r="I309" s="41"/>
      <c r="J309" s="120">
        <f>J307</f>
        <v>1212.875</v>
      </c>
      <c r="K309" s="121" t="s">
        <v>8</v>
      </c>
      <c r="L309" s="13"/>
    </row>
    <row r="310" spans="1:12" ht="15" customHeight="1">
      <c r="A310" s="8"/>
      <c r="I310" s="8"/>
      <c r="J310" s="8"/>
      <c r="K310" s="8"/>
      <c r="L310" s="13"/>
    </row>
    <row r="311" spans="1:12" ht="15" customHeight="1">
      <c r="A311" s="50">
        <v>12</v>
      </c>
      <c r="B311" s="35" t="s">
        <v>189</v>
      </c>
      <c r="C311" s="38"/>
      <c r="D311" s="117"/>
      <c r="E311" s="117"/>
      <c r="F311" s="117"/>
      <c r="G311" s="117"/>
      <c r="H311" s="117"/>
      <c r="I311" s="41"/>
      <c r="J311" s="118"/>
      <c r="K311" s="119"/>
      <c r="L311" s="13"/>
    </row>
    <row r="312" spans="1:12" ht="15" customHeight="1">
      <c r="A312" s="50"/>
      <c r="B312" s="35"/>
      <c r="C312" s="38"/>
      <c r="D312" s="117"/>
      <c r="E312" s="117" t="s">
        <v>190</v>
      </c>
      <c r="F312" s="117"/>
      <c r="G312" s="117"/>
      <c r="H312" s="117"/>
      <c r="I312" s="41"/>
      <c r="J312" s="120">
        <f>J220</f>
        <v>2985</v>
      </c>
      <c r="K312" s="121" t="s">
        <v>8</v>
      </c>
      <c r="L312" s="13"/>
    </row>
    <row r="313" spans="1:12" ht="15" customHeight="1">
      <c r="A313" s="50"/>
      <c r="B313" s="35"/>
      <c r="C313" s="38"/>
      <c r="D313" s="117"/>
      <c r="E313" s="117"/>
      <c r="F313" s="117"/>
      <c r="G313" s="117"/>
      <c r="H313" s="117"/>
      <c r="I313" s="41"/>
      <c r="J313" s="118"/>
      <c r="K313" s="119"/>
      <c r="L313" s="13"/>
    </row>
    <row r="314" spans="1:12" ht="15" customHeight="1">
      <c r="A314" s="50">
        <v>13</v>
      </c>
      <c r="B314" s="35" t="s">
        <v>191</v>
      </c>
      <c r="C314" s="38"/>
      <c r="D314" s="117"/>
      <c r="E314" s="117"/>
      <c r="F314" s="117"/>
      <c r="G314" s="117"/>
      <c r="H314" s="117"/>
      <c r="I314" s="41"/>
      <c r="J314" s="118"/>
      <c r="K314" s="119"/>
      <c r="L314" s="13"/>
    </row>
    <row r="315" spans="1:12" ht="15" customHeight="1">
      <c r="A315" s="50"/>
      <c r="B315" s="35"/>
      <c r="C315" s="38"/>
      <c r="D315" s="117"/>
      <c r="E315" s="117" t="s">
        <v>192</v>
      </c>
      <c r="F315" s="117"/>
      <c r="G315" s="117"/>
      <c r="H315" s="117"/>
      <c r="I315" s="41"/>
      <c r="J315" s="118">
        <f>J255</f>
        <v>2055.9100000000003</v>
      </c>
      <c r="K315" s="119" t="s">
        <v>8</v>
      </c>
      <c r="L315" s="13"/>
    </row>
    <row r="316" spans="1:12" ht="15" customHeight="1">
      <c r="A316" s="8"/>
      <c r="I316" s="8"/>
      <c r="J316" s="8"/>
      <c r="K316" s="8"/>
      <c r="L316" s="13"/>
    </row>
    <row r="317" spans="1:12" ht="15" customHeight="1">
      <c r="A317" s="50">
        <v>14</v>
      </c>
      <c r="B317" s="35" t="s">
        <v>193</v>
      </c>
      <c r="C317" s="38"/>
      <c r="D317" s="117"/>
      <c r="E317" s="117"/>
      <c r="F317" s="117"/>
      <c r="G317" s="117"/>
      <c r="H317" s="117"/>
      <c r="I317" s="41"/>
      <c r="J317" s="118"/>
      <c r="K317" s="119"/>
      <c r="L317" s="13"/>
    </row>
    <row r="318" spans="1:12" ht="15" customHeight="1">
      <c r="A318" s="50"/>
      <c r="B318" s="35" t="s">
        <v>153</v>
      </c>
      <c r="C318" s="38"/>
      <c r="D318" s="117"/>
      <c r="E318" s="117" t="s">
        <v>581</v>
      </c>
      <c r="F318" s="117"/>
      <c r="G318" s="117"/>
      <c r="H318" s="117"/>
      <c r="I318" s="41"/>
      <c r="J318" s="118">
        <f>3*2*2.5*7</f>
        <v>105</v>
      </c>
      <c r="K318" s="119" t="s">
        <v>176</v>
      </c>
      <c r="L318" s="13"/>
    </row>
    <row r="319" spans="1:12" ht="15" customHeight="1">
      <c r="A319" s="50"/>
      <c r="B319" s="35" t="s">
        <v>154</v>
      </c>
      <c r="C319" s="38"/>
      <c r="D319" s="117"/>
      <c r="E319" s="117" t="s">
        <v>582</v>
      </c>
      <c r="F319" s="117"/>
      <c r="G319" s="117"/>
      <c r="H319" s="117"/>
      <c r="I319" s="41"/>
      <c r="J319" s="118">
        <f>5*2*3*7</f>
        <v>210</v>
      </c>
      <c r="K319" s="119" t="s">
        <v>176</v>
      </c>
      <c r="L319" s="13"/>
    </row>
    <row r="320" spans="1:12" ht="15" customHeight="1">
      <c r="A320" s="50"/>
      <c r="B320" s="35" t="s">
        <v>155</v>
      </c>
      <c r="C320" s="38"/>
      <c r="D320" s="117"/>
      <c r="E320" s="117" t="s">
        <v>534</v>
      </c>
      <c r="F320" s="117"/>
      <c r="G320" s="117"/>
      <c r="H320" s="117"/>
      <c r="I320" s="41"/>
      <c r="J320" s="118">
        <f>1*2*3.5*7</f>
        <v>49</v>
      </c>
      <c r="K320" s="119" t="s">
        <v>176</v>
      </c>
      <c r="L320" s="13"/>
    </row>
    <row r="321" spans="1:12" ht="15" customHeight="1">
      <c r="A321" s="50"/>
      <c r="B321" s="35" t="s">
        <v>156</v>
      </c>
      <c r="C321" s="38"/>
      <c r="D321" s="117"/>
      <c r="E321" s="117" t="s">
        <v>583</v>
      </c>
      <c r="F321" s="117"/>
      <c r="G321" s="117"/>
      <c r="H321" s="117"/>
      <c r="I321" s="41"/>
      <c r="J321" s="118">
        <f>1*2*5*7</f>
        <v>70</v>
      </c>
      <c r="K321" s="119" t="s">
        <v>176</v>
      </c>
      <c r="L321" s="13"/>
    </row>
    <row r="322" spans="1:12" ht="15" customHeight="1">
      <c r="A322" s="50"/>
      <c r="B322" s="35"/>
      <c r="C322" s="38"/>
      <c r="D322" s="117"/>
      <c r="E322" s="117"/>
      <c r="F322" s="117"/>
      <c r="G322" s="117"/>
      <c r="H322" s="117"/>
      <c r="I322" s="41"/>
      <c r="J322" s="120">
        <f>SUM(J318:J321)</f>
        <v>434</v>
      </c>
      <c r="K322" s="121" t="s">
        <v>176</v>
      </c>
      <c r="L322" s="13"/>
    </row>
    <row r="323" spans="1:12" ht="15" customHeight="1">
      <c r="A323" s="8"/>
      <c r="I323" s="8"/>
      <c r="J323" s="8"/>
      <c r="K323" s="8"/>
      <c r="L323" s="13"/>
    </row>
    <row r="324" spans="1:12" ht="15" customHeight="1">
      <c r="A324" s="50"/>
      <c r="B324" s="35" t="s">
        <v>194</v>
      </c>
      <c r="C324" s="38"/>
      <c r="D324" s="117"/>
      <c r="E324" s="117"/>
      <c r="F324" s="117"/>
      <c r="G324" s="117"/>
      <c r="H324" s="117"/>
      <c r="I324" s="41"/>
      <c r="J324" s="118"/>
      <c r="K324" s="119"/>
      <c r="L324" s="13"/>
    </row>
    <row r="325" spans="1:12" ht="15" customHeight="1">
      <c r="A325" s="50">
        <v>1</v>
      </c>
      <c r="B325" s="35" t="s">
        <v>195</v>
      </c>
      <c r="C325" s="38"/>
      <c r="D325" s="117"/>
      <c r="E325" s="117"/>
      <c r="F325" s="117"/>
      <c r="G325" s="117"/>
      <c r="H325" s="117"/>
      <c r="I325" s="41"/>
      <c r="J325" s="118"/>
      <c r="K325" s="119"/>
      <c r="L325" s="13"/>
    </row>
    <row r="326" spans="1:12" ht="15" customHeight="1">
      <c r="A326" s="50"/>
      <c r="B326" s="35" t="s">
        <v>196</v>
      </c>
      <c r="C326" s="38"/>
      <c r="D326" s="117"/>
      <c r="E326" s="117"/>
      <c r="F326" s="117"/>
      <c r="G326" s="117"/>
      <c r="H326" s="117"/>
      <c r="I326" s="41"/>
      <c r="J326" s="118"/>
      <c r="K326" s="119"/>
      <c r="L326" s="13"/>
    </row>
    <row r="327" spans="1:12" ht="15" customHeight="1">
      <c r="A327" s="50"/>
      <c r="B327" s="35" t="s">
        <v>157</v>
      </c>
      <c r="C327" s="38"/>
      <c r="D327" s="117"/>
      <c r="E327" s="117" t="s">
        <v>584</v>
      </c>
      <c r="F327" s="117"/>
      <c r="G327" s="117"/>
      <c r="H327" s="117"/>
      <c r="I327" s="41"/>
      <c r="J327" s="118">
        <v>18</v>
      </c>
      <c r="K327" s="119" t="s">
        <v>8</v>
      </c>
      <c r="L327" s="13"/>
    </row>
    <row r="328" spans="1:12" ht="15" customHeight="1">
      <c r="A328" s="50"/>
      <c r="B328" s="35" t="s">
        <v>158</v>
      </c>
      <c r="C328" s="38"/>
      <c r="D328" s="117"/>
      <c r="E328" s="117" t="s">
        <v>585</v>
      </c>
      <c r="F328" s="117"/>
      <c r="G328" s="117"/>
      <c r="H328" s="117"/>
      <c r="I328" s="41"/>
      <c r="J328" s="118">
        <f>1*4*3.5</f>
        <v>14</v>
      </c>
      <c r="K328" s="119" t="s">
        <v>8</v>
      </c>
      <c r="L328" s="13"/>
    </row>
    <row r="329" spans="1:12" ht="15" customHeight="1">
      <c r="A329" s="50"/>
      <c r="B329" s="35" t="s">
        <v>159</v>
      </c>
      <c r="C329" s="38"/>
      <c r="D329" s="117"/>
      <c r="E329" s="117" t="s">
        <v>586</v>
      </c>
      <c r="F329" s="117"/>
      <c r="G329" s="117"/>
      <c r="H329" s="117"/>
      <c r="I329" s="41"/>
      <c r="J329" s="118">
        <f>1*5*4</f>
        <v>20</v>
      </c>
      <c r="K329" s="119" t="s">
        <v>8</v>
      </c>
      <c r="L329" s="13"/>
    </row>
    <row r="330" spans="1:12" ht="15" customHeight="1">
      <c r="A330" s="50"/>
      <c r="B330" s="35" t="s">
        <v>519</v>
      </c>
      <c r="C330" s="38"/>
      <c r="D330" s="117"/>
      <c r="E330" s="117" t="s">
        <v>587</v>
      </c>
      <c r="F330" s="117"/>
      <c r="G330" s="117"/>
      <c r="H330" s="117"/>
      <c r="I330" s="41"/>
      <c r="J330" s="118">
        <f>4*6*4</f>
        <v>96</v>
      </c>
      <c r="K330" s="119" t="s">
        <v>8</v>
      </c>
      <c r="L330" s="13"/>
    </row>
    <row r="331" spans="1:12" ht="15" customHeight="1">
      <c r="A331" s="50"/>
      <c r="B331" s="35" t="s">
        <v>520</v>
      </c>
      <c r="C331" s="38"/>
      <c r="D331" s="117"/>
      <c r="E331" s="117" t="s">
        <v>588</v>
      </c>
      <c r="F331" s="117"/>
      <c r="G331" s="117"/>
      <c r="H331" s="117"/>
      <c r="I331" s="41"/>
      <c r="J331" s="118">
        <f>3*6*6</f>
        <v>108</v>
      </c>
      <c r="K331" s="119" t="s">
        <v>8</v>
      </c>
      <c r="L331" s="13"/>
    </row>
    <row r="332" spans="1:12" ht="15" customHeight="1">
      <c r="A332" s="50"/>
      <c r="B332" s="35" t="s">
        <v>521</v>
      </c>
      <c r="C332" s="38"/>
      <c r="D332" s="117"/>
      <c r="E332" s="117" t="s">
        <v>589</v>
      </c>
      <c r="F332" s="117"/>
      <c r="G332" s="117"/>
      <c r="H332" s="117"/>
      <c r="I332" s="41"/>
      <c r="J332" s="118">
        <f>3*2*2</f>
        <v>12</v>
      </c>
      <c r="K332" s="119" t="s">
        <v>8</v>
      </c>
      <c r="L332" s="13"/>
    </row>
    <row r="333" spans="1:12" ht="15" customHeight="1">
      <c r="A333" s="50"/>
      <c r="B333" s="35"/>
      <c r="C333" s="38"/>
      <c r="D333" s="117"/>
      <c r="E333" s="117"/>
      <c r="F333" s="117"/>
      <c r="G333" s="117"/>
      <c r="H333" s="117"/>
      <c r="I333" s="41"/>
      <c r="J333" s="120">
        <f>SUM(J327:J332)</f>
        <v>268</v>
      </c>
      <c r="K333" s="121" t="s">
        <v>8</v>
      </c>
      <c r="L333" s="13"/>
    </row>
    <row r="334" spans="1:12" ht="15" customHeight="1">
      <c r="A334" s="50"/>
      <c r="B334" s="35"/>
      <c r="C334" s="38"/>
      <c r="D334" s="117"/>
      <c r="E334" s="117"/>
      <c r="F334" s="117"/>
      <c r="G334" s="117"/>
      <c r="H334" s="117"/>
      <c r="I334" s="41"/>
      <c r="J334" s="118"/>
      <c r="K334" s="119"/>
      <c r="L334" s="13"/>
    </row>
    <row r="335" spans="1:12" ht="15.75">
      <c r="A335" s="50">
        <v>2</v>
      </c>
      <c r="B335" s="35" t="s">
        <v>197</v>
      </c>
      <c r="C335" s="38"/>
      <c r="D335" s="117"/>
      <c r="E335" s="117"/>
      <c r="F335" s="117"/>
      <c r="G335" s="117"/>
      <c r="H335" s="117"/>
      <c r="I335" s="41"/>
      <c r="J335" s="118"/>
      <c r="K335" s="119"/>
    </row>
    <row r="336" spans="1:12" ht="15.75">
      <c r="A336" s="50"/>
      <c r="B336" s="33" t="s">
        <v>198</v>
      </c>
      <c r="C336" s="38"/>
      <c r="D336" s="117"/>
      <c r="E336" s="117" t="s">
        <v>590</v>
      </c>
      <c r="F336" s="117"/>
      <c r="G336" s="117"/>
      <c r="H336" s="117"/>
      <c r="I336" s="41"/>
      <c r="J336" s="118">
        <f>2*1*7.5*5.25</f>
        <v>78.75</v>
      </c>
      <c r="K336" s="119" t="s">
        <v>8</v>
      </c>
    </row>
    <row r="337" spans="1:11" ht="15.75">
      <c r="A337" s="50"/>
      <c r="B337" s="33" t="s">
        <v>199</v>
      </c>
      <c r="C337" s="38"/>
      <c r="D337" s="117"/>
      <c r="E337" s="117" t="s">
        <v>591</v>
      </c>
      <c r="F337" s="117"/>
      <c r="G337" s="117"/>
      <c r="H337" s="117"/>
      <c r="I337" s="41"/>
      <c r="J337" s="118">
        <f>2*2*(7+5.25)*7</f>
        <v>343</v>
      </c>
      <c r="K337" s="119" t="s">
        <v>8</v>
      </c>
    </row>
    <row r="338" spans="1:11" ht="15.75">
      <c r="A338" s="50"/>
      <c r="B338" s="33" t="s">
        <v>198</v>
      </c>
      <c r="C338" s="38"/>
      <c r="D338" s="117"/>
      <c r="E338" s="117" t="s">
        <v>592</v>
      </c>
      <c r="F338" s="117"/>
      <c r="G338" s="117"/>
      <c r="H338" s="117"/>
      <c r="I338" s="41"/>
      <c r="J338" s="118">
        <f>1*1*5.5*7.5</f>
        <v>41.25</v>
      </c>
      <c r="K338" s="119" t="s">
        <v>8</v>
      </c>
    </row>
    <row r="339" spans="1:11" ht="15.75">
      <c r="A339" s="50"/>
      <c r="B339" s="33" t="s">
        <v>199</v>
      </c>
      <c r="C339" s="38"/>
      <c r="D339" s="117"/>
      <c r="E339" s="117" t="s">
        <v>593</v>
      </c>
      <c r="F339" s="117"/>
      <c r="G339" s="117"/>
      <c r="H339" s="117"/>
      <c r="I339" s="41"/>
      <c r="J339" s="118">
        <f>1*2*(5.5+7.5)*7</f>
        <v>182</v>
      </c>
      <c r="K339" s="119" t="s">
        <v>8</v>
      </c>
    </row>
    <row r="340" spans="1:11" ht="15.75">
      <c r="A340" s="50"/>
      <c r="B340" s="33" t="s">
        <v>595</v>
      </c>
      <c r="C340" s="38"/>
      <c r="D340" s="117"/>
      <c r="E340" s="117" t="s">
        <v>452</v>
      </c>
      <c r="F340" s="117"/>
      <c r="G340" s="117"/>
      <c r="H340" s="117"/>
      <c r="I340" s="41"/>
      <c r="J340" s="118">
        <f>1*11*8</f>
        <v>88</v>
      </c>
      <c r="K340" s="119" t="s">
        <v>8</v>
      </c>
    </row>
    <row r="341" spans="1:11" ht="15.75">
      <c r="A341" s="50"/>
      <c r="B341" s="33" t="s">
        <v>199</v>
      </c>
      <c r="C341" s="38"/>
      <c r="D341" s="117"/>
      <c r="E341" s="117" t="s">
        <v>594</v>
      </c>
      <c r="F341" s="117"/>
      <c r="G341" s="117"/>
      <c r="H341" s="117"/>
      <c r="I341" s="41"/>
      <c r="J341" s="118">
        <f>1*2*(11+8)*5</f>
        <v>190</v>
      </c>
      <c r="K341" s="119" t="s">
        <v>8</v>
      </c>
    </row>
    <row r="342" spans="1:11" ht="15.75">
      <c r="A342" s="50"/>
      <c r="B342" s="35"/>
      <c r="C342" s="38"/>
      <c r="D342" s="117"/>
      <c r="E342" s="117"/>
      <c r="F342" s="117"/>
      <c r="G342" s="117"/>
      <c r="H342" s="117"/>
      <c r="I342" s="41"/>
      <c r="J342" s="120">
        <f>SUM(J336:J341)</f>
        <v>923</v>
      </c>
      <c r="K342" s="121" t="s">
        <v>8</v>
      </c>
    </row>
    <row r="343" spans="1:11" ht="15.75">
      <c r="A343" s="50"/>
      <c r="B343" s="35"/>
      <c r="C343" s="38"/>
      <c r="D343" s="117"/>
      <c r="E343" s="117"/>
      <c r="F343" s="117"/>
      <c r="G343" s="117"/>
      <c r="H343" s="117"/>
      <c r="I343" s="41"/>
      <c r="J343" s="118"/>
      <c r="K343" s="119"/>
    </row>
    <row r="344" spans="1:11" ht="15.75">
      <c r="A344" s="50"/>
      <c r="B344" s="35" t="s">
        <v>67</v>
      </c>
      <c r="C344" s="38"/>
      <c r="D344" s="117"/>
      <c r="E344" s="117"/>
      <c r="F344" s="117"/>
      <c r="G344" s="117"/>
      <c r="H344" s="117"/>
      <c r="I344" s="41"/>
      <c r="J344" s="118"/>
      <c r="K344" s="119"/>
    </row>
    <row r="345" spans="1:11" ht="15.75">
      <c r="A345" s="50"/>
      <c r="B345" s="35" t="s">
        <v>153</v>
      </c>
      <c r="C345" s="38"/>
      <c r="D345" s="117"/>
      <c r="E345" s="117" t="s">
        <v>200</v>
      </c>
      <c r="F345" s="117"/>
      <c r="G345" s="117"/>
      <c r="H345" s="117"/>
      <c r="I345" s="41"/>
      <c r="J345" s="118">
        <f>3*1*2.5*7</f>
        <v>52.5</v>
      </c>
      <c r="K345" s="119" t="s">
        <v>8</v>
      </c>
    </row>
    <row r="346" spans="1:11" ht="15.75">
      <c r="A346" s="50"/>
      <c r="B346" s="35" t="s">
        <v>154</v>
      </c>
      <c r="C346" s="38"/>
      <c r="D346" s="117"/>
      <c r="E346" s="117" t="s">
        <v>533</v>
      </c>
      <c r="F346" s="117"/>
      <c r="G346" s="117"/>
      <c r="H346" s="117"/>
      <c r="I346" s="41"/>
      <c r="J346" s="118">
        <f>1*1*3*7</f>
        <v>21</v>
      </c>
      <c r="K346" s="119" t="s">
        <v>8</v>
      </c>
    </row>
    <row r="347" spans="1:11" ht="15.75">
      <c r="A347" s="50"/>
      <c r="B347" s="35"/>
      <c r="C347" s="38"/>
      <c r="D347" s="117"/>
      <c r="E347" s="117"/>
      <c r="F347" s="117"/>
      <c r="G347" s="117"/>
      <c r="H347" s="117"/>
      <c r="I347" s="41"/>
      <c r="J347" s="120">
        <f>SUM(J345:J346)</f>
        <v>73.5</v>
      </c>
      <c r="K347" s="121" t="s">
        <v>8</v>
      </c>
    </row>
    <row r="348" spans="1:11" ht="15.75">
      <c r="A348" s="50"/>
      <c r="B348" s="35"/>
      <c r="C348" s="38"/>
      <c r="D348" s="117"/>
      <c r="E348" s="117"/>
      <c r="F348" s="117"/>
      <c r="G348" s="117"/>
      <c r="H348" s="117"/>
      <c r="I348" s="41"/>
      <c r="J348" s="118"/>
      <c r="K348" s="119"/>
    </row>
    <row r="349" spans="1:11" ht="15.75">
      <c r="A349" s="50"/>
      <c r="B349" s="35"/>
      <c r="C349" s="38"/>
      <c r="D349" s="117"/>
      <c r="E349" s="117"/>
      <c r="F349" s="117"/>
      <c r="G349" s="117"/>
      <c r="H349" s="117"/>
      <c r="I349" s="41"/>
      <c r="J349" s="120">
        <f>J342-J347</f>
        <v>849.5</v>
      </c>
      <c r="K349" s="121" t="s">
        <v>8</v>
      </c>
    </row>
    <row r="350" spans="1:11">
      <c r="A350" s="8"/>
      <c r="I350" s="8"/>
      <c r="J350" s="8"/>
      <c r="K350" s="8"/>
    </row>
    <row r="351" spans="1:11">
      <c r="A351" s="50">
        <v>3</v>
      </c>
      <c r="B351" s="160" t="s">
        <v>697</v>
      </c>
      <c r="C351" s="38"/>
      <c r="D351" s="117"/>
      <c r="E351" s="117"/>
      <c r="F351" s="117"/>
      <c r="G351" s="117"/>
      <c r="H351" s="117"/>
      <c r="I351" s="41"/>
      <c r="J351" s="118"/>
      <c r="K351" s="119"/>
    </row>
    <row r="352" spans="1:11" ht="15.75">
      <c r="A352" s="50"/>
      <c r="B352" s="35" t="s">
        <v>596</v>
      </c>
      <c r="C352" s="38"/>
      <c r="D352" s="117"/>
      <c r="E352" s="117" t="s">
        <v>201</v>
      </c>
      <c r="F352" s="117"/>
      <c r="G352" s="117"/>
      <c r="H352" s="117"/>
      <c r="I352" s="41"/>
      <c r="J352" s="118">
        <f>1*1*16*12</f>
        <v>192</v>
      </c>
      <c r="K352" s="119" t="s">
        <v>8</v>
      </c>
    </row>
    <row r="353" spans="1:11" ht="15.75">
      <c r="A353" s="50"/>
      <c r="B353" s="35" t="s">
        <v>98</v>
      </c>
      <c r="C353" s="38"/>
      <c r="D353" s="117"/>
      <c r="E353" s="117" t="s">
        <v>202</v>
      </c>
      <c r="F353" s="117"/>
      <c r="G353" s="117"/>
      <c r="H353" s="117"/>
      <c r="I353" s="41"/>
      <c r="J353" s="118">
        <f>1*2*(16+12)*0.5</f>
        <v>28</v>
      </c>
      <c r="K353" s="119" t="s">
        <v>8</v>
      </c>
    </row>
    <row r="354" spans="1:11" ht="15.75">
      <c r="A354" s="50"/>
      <c r="B354" s="35" t="s">
        <v>599</v>
      </c>
      <c r="C354" s="38"/>
      <c r="D354" s="117"/>
      <c r="E354" s="117" t="s">
        <v>597</v>
      </c>
      <c r="F354" s="117"/>
      <c r="G354" s="117"/>
      <c r="H354" s="117"/>
      <c r="I354" s="41"/>
      <c r="J354" s="118">
        <f>1*1*15*11</f>
        <v>165</v>
      </c>
      <c r="K354" s="119" t="s">
        <v>8</v>
      </c>
    </row>
    <row r="355" spans="1:11" ht="15.75">
      <c r="A355" s="50"/>
      <c r="B355" s="35" t="s">
        <v>199</v>
      </c>
      <c r="C355" s="38"/>
      <c r="D355" s="117"/>
      <c r="E355" s="117" t="s">
        <v>598</v>
      </c>
      <c r="F355" s="117"/>
      <c r="G355" s="117"/>
      <c r="H355" s="117"/>
      <c r="I355" s="41"/>
      <c r="J355" s="118">
        <f>1*2*(15+11)*0.5</f>
        <v>26</v>
      </c>
      <c r="K355" s="119" t="s">
        <v>8</v>
      </c>
    </row>
    <row r="356" spans="1:11" ht="15.75">
      <c r="A356" s="50"/>
      <c r="B356" s="35" t="s">
        <v>600</v>
      </c>
      <c r="C356" s="38"/>
      <c r="D356" s="117"/>
      <c r="E356" s="117" t="s">
        <v>602</v>
      </c>
      <c r="F356" s="117"/>
      <c r="G356" s="117"/>
      <c r="H356" s="117"/>
      <c r="I356" s="41"/>
      <c r="J356" s="118">
        <f>1*1*16*11</f>
        <v>176</v>
      </c>
      <c r="K356" s="119" t="s">
        <v>8</v>
      </c>
    </row>
    <row r="357" spans="1:11" ht="15.75">
      <c r="A357" s="50"/>
      <c r="B357" s="35" t="s">
        <v>199</v>
      </c>
      <c r="C357" s="38"/>
      <c r="D357" s="117"/>
      <c r="E357" s="117" t="s">
        <v>603</v>
      </c>
      <c r="F357" s="117"/>
      <c r="G357" s="117"/>
      <c r="H357" s="117"/>
      <c r="I357" s="41"/>
      <c r="J357" s="118">
        <f>1*2*(16+11)*0.5</f>
        <v>27</v>
      </c>
      <c r="K357" s="119" t="s">
        <v>8</v>
      </c>
    </row>
    <row r="358" spans="1:11" ht="15.75">
      <c r="A358" s="50"/>
      <c r="B358" s="35" t="s">
        <v>599</v>
      </c>
      <c r="C358" s="38"/>
      <c r="D358" s="117"/>
      <c r="E358" s="117" t="s">
        <v>201</v>
      </c>
      <c r="F358" s="117"/>
      <c r="G358" s="117"/>
      <c r="H358" s="117"/>
      <c r="I358" s="41"/>
      <c r="J358" s="118">
        <f>1*1*16*12</f>
        <v>192</v>
      </c>
      <c r="K358" s="119" t="s">
        <v>8</v>
      </c>
    </row>
    <row r="359" spans="1:11" ht="15.75">
      <c r="A359" s="50"/>
      <c r="B359" s="35" t="s">
        <v>199</v>
      </c>
      <c r="C359" s="38"/>
      <c r="D359" s="117"/>
      <c r="E359" s="117" t="s">
        <v>202</v>
      </c>
      <c r="F359" s="117"/>
      <c r="G359" s="117"/>
      <c r="H359" s="117"/>
      <c r="I359" s="41"/>
      <c r="J359" s="118">
        <f>1*2*(16+12)*0.5</f>
        <v>28</v>
      </c>
      <c r="K359" s="119" t="s">
        <v>8</v>
      </c>
    </row>
    <row r="360" spans="1:11" ht="15.75">
      <c r="A360" s="50"/>
      <c r="B360" s="35" t="s">
        <v>203</v>
      </c>
      <c r="C360" s="38"/>
      <c r="D360" s="117"/>
      <c r="E360" s="117" t="s">
        <v>604</v>
      </c>
      <c r="F360" s="117"/>
      <c r="G360" s="117"/>
      <c r="H360" s="117"/>
      <c r="I360" s="41"/>
      <c r="J360" s="118">
        <f>1*1*14*16</f>
        <v>224</v>
      </c>
      <c r="K360" s="119" t="s">
        <v>8</v>
      </c>
    </row>
    <row r="361" spans="1:11" ht="15.75">
      <c r="A361" s="50"/>
      <c r="B361" s="35" t="s">
        <v>199</v>
      </c>
      <c r="C361" s="38"/>
      <c r="D361" s="117"/>
      <c r="E361" s="117" t="s">
        <v>605</v>
      </c>
      <c r="F361" s="117"/>
      <c r="G361" s="117"/>
      <c r="H361" s="117"/>
      <c r="I361" s="41"/>
      <c r="J361" s="118">
        <f>1*2*(14+16)*0.5</f>
        <v>30</v>
      </c>
      <c r="K361" s="119" t="s">
        <v>8</v>
      </c>
    </row>
    <row r="362" spans="1:11" ht="15.75">
      <c r="A362" s="50"/>
      <c r="B362" s="35" t="s">
        <v>601</v>
      </c>
      <c r="C362" s="38"/>
      <c r="D362" s="117"/>
      <c r="E362" s="117" t="s">
        <v>606</v>
      </c>
      <c r="F362" s="117"/>
      <c r="G362" s="117"/>
      <c r="H362" s="117"/>
      <c r="I362" s="41"/>
      <c r="J362" s="118">
        <f>1*1*5.5*10.5</f>
        <v>57.75</v>
      </c>
      <c r="K362" s="119" t="s">
        <v>8</v>
      </c>
    </row>
    <row r="363" spans="1:11" ht="15.75">
      <c r="A363" s="50"/>
      <c r="B363" s="35" t="s">
        <v>199</v>
      </c>
      <c r="C363" s="38"/>
      <c r="D363" s="117"/>
      <c r="E363" s="117" t="s">
        <v>607</v>
      </c>
      <c r="F363" s="117"/>
      <c r="G363" s="117"/>
      <c r="H363" s="117"/>
      <c r="I363" s="41"/>
      <c r="J363" s="118">
        <f>1*2*(5.5+10.5)*0.5</f>
        <v>16</v>
      </c>
      <c r="K363" s="119" t="s">
        <v>8</v>
      </c>
    </row>
    <row r="364" spans="1:11" ht="15.75">
      <c r="A364" s="50"/>
      <c r="B364" s="35"/>
      <c r="C364" s="38"/>
      <c r="D364" s="117"/>
      <c r="E364" s="117"/>
      <c r="F364" s="117"/>
      <c r="G364" s="117"/>
      <c r="H364" s="117"/>
      <c r="I364" s="41"/>
      <c r="J364" s="120">
        <f>SUM(J352:J363)</f>
        <v>1161.75</v>
      </c>
      <c r="K364" s="121" t="s">
        <v>8</v>
      </c>
    </row>
    <row r="365" spans="1:11" ht="15.75">
      <c r="A365" s="50"/>
      <c r="B365" s="35"/>
      <c r="C365" s="38"/>
      <c r="D365" s="117"/>
      <c r="E365" s="117"/>
      <c r="F365" s="117"/>
      <c r="G365" s="117"/>
      <c r="H365" s="117"/>
      <c r="I365" s="41"/>
      <c r="J365" s="118"/>
      <c r="K365" s="119"/>
    </row>
    <row r="366" spans="1:11" ht="15.75">
      <c r="A366" s="50">
        <v>4</v>
      </c>
      <c r="B366" s="35" t="s">
        <v>204</v>
      </c>
      <c r="C366" s="38"/>
      <c r="D366" s="117"/>
      <c r="E366" s="117"/>
      <c r="F366" s="117"/>
      <c r="G366" s="117"/>
      <c r="H366" s="117"/>
      <c r="I366" s="41"/>
      <c r="J366" s="118"/>
      <c r="K366" s="119"/>
    </row>
    <row r="367" spans="1:11" ht="15.75">
      <c r="A367" s="50"/>
      <c r="B367" s="35"/>
      <c r="C367" s="38"/>
      <c r="D367" s="117"/>
      <c r="E367" s="117" t="s">
        <v>188</v>
      </c>
      <c r="F367" s="117"/>
      <c r="G367" s="117"/>
      <c r="H367" s="117"/>
      <c r="I367" s="41"/>
      <c r="J367" s="118">
        <f>J333</f>
        <v>268</v>
      </c>
      <c r="K367" s="119" t="s">
        <v>8</v>
      </c>
    </row>
    <row r="368" spans="1:11" ht="15.75">
      <c r="A368" s="50"/>
      <c r="B368" s="35"/>
      <c r="C368" s="38"/>
      <c r="D368" s="117"/>
      <c r="E368" s="117"/>
      <c r="F368" s="117"/>
      <c r="G368" s="117"/>
      <c r="H368" s="117"/>
      <c r="I368" s="41"/>
      <c r="J368" s="118"/>
      <c r="K368" s="119"/>
    </row>
    <row r="369" spans="1:11" ht="15.75">
      <c r="A369" s="50"/>
      <c r="B369" s="35"/>
      <c r="C369" s="38"/>
      <c r="D369" s="117"/>
      <c r="E369" s="117"/>
      <c r="F369" s="117"/>
      <c r="G369" s="117"/>
      <c r="H369" s="117"/>
      <c r="I369" s="41"/>
      <c r="J369" s="118"/>
      <c r="K369" s="119"/>
    </row>
    <row r="370" spans="1:11" ht="15.75">
      <c r="A370" s="50"/>
      <c r="B370" s="35"/>
      <c r="C370" s="38"/>
      <c r="D370" s="117"/>
      <c r="E370" s="117"/>
      <c r="F370" s="117"/>
      <c r="G370" s="117"/>
      <c r="H370" s="117"/>
      <c r="I370" s="41"/>
      <c r="J370" s="118"/>
      <c r="K370" s="119"/>
    </row>
    <row r="371" spans="1:11" ht="15.75">
      <c r="A371" s="50"/>
      <c r="B371" s="35"/>
      <c r="C371" s="38"/>
      <c r="D371" s="117"/>
      <c r="E371" s="117"/>
      <c r="F371" s="117"/>
      <c r="G371" s="117"/>
      <c r="H371" s="117"/>
      <c r="I371" s="41"/>
      <c r="J371" s="118"/>
      <c r="K371" s="119"/>
    </row>
    <row r="372" spans="1:11">
      <c r="A372" s="89"/>
      <c r="B372" s="51" t="s">
        <v>2</v>
      </c>
      <c r="C372" s="50"/>
      <c r="D372" s="50" t="s">
        <v>0</v>
      </c>
      <c r="E372" s="50"/>
      <c r="F372" s="51"/>
      <c r="G372" s="50"/>
      <c r="H372" s="50"/>
      <c r="I372" s="50" t="s">
        <v>69</v>
      </c>
      <c r="J372" s="50"/>
      <c r="K372" s="51"/>
    </row>
    <row r="373" spans="1:11">
      <c r="A373" s="89"/>
      <c r="B373" s="67"/>
      <c r="C373" s="50"/>
      <c r="D373" s="40" t="s">
        <v>70</v>
      </c>
      <c r="E373" s="50"/>
      <c r="F373" s="51"/>
      <c r="G373" s="50"/>
      <c r="H373" s="50"/>
      <c r="I373" s="40" t="s">
        <v>71</v>
      </c>
      <c r="J373" s="50"/>
      <c r="K373" s="51"/>
    </row>
    <row r="374" spans="1:11">
      <c r="A374" s="89"/>
      <c r="B374" s="67"/>
      <c r="C374" s="50"/>
      <c r="D374" s="78" t="s">
        <v>1</v>
      </c>
      <c r="E374" s="50"/>
      <c r="F374" s="51"/>
      <c r="G374" s="50"/>
      <c r="H374" s="50"/>
      <c r="I374" s="78" t="s">
        <v>1</v>
      </c>
      <c r="J374" s="50"/>
      <c r="K374" s="51"/>
    </row>
    <row r="375" spans="1:11" ht="15.75">
      <c r="A375" s="50"/>
      <c r="B375" s="35"/>
      <c r="C375" s="38"/>
      <c r="D375" s="117"/>
      <c r="E375" s="117"/>
      <c r="F375" s="117"/>
      <c r="G375" s="117"/>
      <c r="H375" s="117"/>
      <c r="I375" s="41"/>
      <c r="J375" s="118"/>
      <c r="K375" s="119"/>
    </row>
    <row r="376" spans="1:11" ht="15.75">
      <c r="A376" s="50"/>
      <c r="B376" s="35"/>
      <c r="C376" s="38"/>
      <c r="D376" s="117"/>
      <c r="E376" s="117"/>
      <c r="F376" s="117"/>
      <c r="G376" s="117"/>
      <c r="H376" s="117"/>
      <c r="I376" s="41"/>
      <c r="J376" s="118"/>
      <c r="K376" s="119"/>
    </row>
    <row r="377" spans="1:11">
      <c r="E377" s="7"/>
      <c r="F377" s="7"/>
      <c r="I377" s="8"/>
      <c r="J377" s="8"/>
      <c r="K377" s="7"/>
    </row>
  </sheetData>
  <mergeCells count="5">
    <mergeCell ref="A1:B1"/>
    <mergeCell ref="C1:K3"/>
    <mergeCell ref="B6:D6"/>
    <mergeCell ref="E6:H6"/>
    <mergeCell ref="J6:K6"/>
  </mergeCells>
  <phoneticPr fontId="0" type="noConversion"/>
  <pageMargins left="0.75" right="0.25" top="0.75" bottom="0.25" header="0.5" footer="0.3"/>
  <pageSetup paperSize="9" orientation="portrait" r:id="rId1"/>
  <headerFooter differentOddEven="1" alignWithMargins="0">
    <oddHeader>&amp;C(3)&amp;RPage &amp;P of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54"/>
  <sheetViews>
    <sheetView view="pageBreakPreview" zoomScale="115" zoomScaleSheetLayoutView="115" workbookViewId="0">
      <selection activeCell="C1" sqref="C1:K3"/>
    </sheetView>
  </sheetViews>
  <sheetFormatPr defaultColWidth="17.85546875" defaultRowHeight="15"/>
  <cols>
    <col min="1" max="1" width="4.85546875" style="4" customWidth="1"/>
    <col min="2" max="2" width="23" style="8" customWidth="1"/>
    <col min="3" max="3" width="7.85546875" style="8" customWidth="1"/>
    <col min="4" max="4" width="8.42578125" style="8" customWidth="1"/>
    <col min="5" max="5" width="6.5703125" style="8" customWidth="1"/>
    <col min="6" max="6" width="9.85546875" style="8" customWidth="1"/>
    <col min="7" max="7" width="7" style="8" customWidth="1"/>
    <col min="8" max="8" width="1.28515625" style="8" customWidth="1"/>
    <col min="9" max="9" width="8.7109375" style="3" customWidth="1"/>
    <col min="10" max="10" width="10.5703125" style="9" customWidth="1"/>
    <col min="11" max="11" width="4.85546875" style="10" customWidth="1"/>
    <col min="12" max="250" width="9.140625" style="8" customWidth="1"/>
    <col min="251" max="251" width="5.7109375" style="8" customWidth="1"/>
    <col min="252" max="255" width="9.140625" style="8" hidden="1" customWidth="1"/>
    <col min="256" max="16384" width="17.85546875" style="8"/>
  </cols>
  <sheetData>
    <row r="1" spans="1:11" ht="15" customHeight="1">
      <c r="A1" s="243" t="s">
        <v>3</v>
      </c>
      <c r="B1" s="243"/>
      <c r="C1" s="227" t="s">
        <v>380</v>
      </c>
      <c r="D1" s="227"/>
      <c r="E1" s="227"/>
      <c r="F1" s="227"/>
      <c r="G1" s="227"/>
      <c r="H1" s="227"/>
      <c r="I1" s="227"/>
      <c r="J1" s="227"/>
      <c r="K1" s="227"/>
    </row>
    <row r="2" spans="1:11" ht="15" customHeight="1">
      <c r="C2" s="227"/>
      <c r="D2" s="227"/>
      <c r="E2" s="227"/>
      <c r="F2" s="227"/>
      <c r="G2" s="227"/>
      <c r="H2" s="227"/>
      <c r="I2" s="227"/>
      <c r="J2" s="227"/>
      <c r="K2" s="227"/>
    </row>
    <row r="3" spans="1:11" ht="17.25" customHeight="1">
      <c r="C3" s="227"/>
      <c r="D3" s="227"/>
      <c r="E3" s="227"/>
      <c r="F3" s="227"/>
      <c r="G3" s="227"/>
      <c r="H3" s="227"/>
      <c r="I3" s="227"/>
      <c r="J3" s="227"/>
      <c r="K3" s="227"/>
    </row>
    <row r="4" spans="1:11" ht="15.75">
      <c r="D4" s="127" t="s">
        <v>206</v>
      </c>
      <c r="E4" s="117"/>
      <c r="H4" s="14"/>
    </row>
    <row r="5" spans="1:11" ht="15" customHeight="1">
      <c r="F5" s="11"/>
    </row>
    <row r="6" spans="1:11" ht="15" customHeight="1">
      <c r="A6" s="123" t="s">
        <v>15</v>
      </c>
      <c r="B6" s="244" t="s">
        <v>17</v>
      </c>
      <c r="C6" s="244"/>
      <c r="D6" s="244"/>
      <c r="E6" s="245" t="s">
        <v>18</v>
      </c>
      <c r="F6" s="245"/>
      <c r="G6" s="245"/>
      <c r="H6" s="245"/>
      <c r="I6" s="12"/>
      <c r="J6" s="246" t="s">
        <v>13</v>
      </c>
      <c r="K6" s="246"/>
    </row>
    <row r="7" spans="1:11" ht="15.75">
      <c r="A7" s="7"/>
      <c r="B7" s="35" t="s">
        <v>207</v>
      </c>
      <c r="C7" s="1"/>
    </row>
    <row r="8" spans="1:11" ht="15.75">
      <c r="A8" s="7"/>
      <c r="B8" s="35" t="s">
        <v>208</v>
      </c>
      <c r="C8" s="1"/>
    </row>
    <row r="9" spans="1:11" ht="15.75">
      <c r="A9" s="50"/>
      <c r="B9" s="33" t="s">
        <v>209</v>
      </c>
      <c r="C9" s="38"/>
      <c r="D9" s="117"/>
      <c r="E9" s="117" t="s">
        <v>608</v>
      </c>
      <c r="F9" s="117"/>
      <c r="G9" s="117"/>
      <c r="H9" s="117"/>
      <c r="I9" s="41"/>
      <c r="J9" s="118">
        <f>1*2*160*7.5*1.042</f>
        <v>2500.8000000000002</v>
      </c>
      <c r="K9" s="119" t="s">
        <v>252</v>
      </c>
    </row>
    <row r="10" spans="1:11" ht="15.75">
      <c r="A10" s="50"/>
      <c r="B10" s="33" t="s">
        <v>210</v>
      </c>
      <c r="C10" s="38"/>
      <c r="D10" s="117"/>
      <c r="E10" s="117" t="s">
        <v>609</v>
      </c>
      <c r="F10" s="117"/>
      <c r="G10" s="117"/>
      <c r="H10" s="117"/>
      <c r="I10" s="41"/>
      <c r="J10" s="122">
        <f>1*2*18*54*1.042</f>
        <v>2025.6480000000001</v>
      </c>
      <c r="K10" s="119" t="s">
        <v>252</v>
      </c>
    </row>
    <row r="11" spans="1:11" ht="15.75">
      <c r="A11" s="50"/>
      <c r="B11" s="33" t="s">
        <v>211</v>
      </c>
      <c r="C11" s="38"/>
      <c r="D11" s="117"/>
      <c r="E11" s="117" t="s">
        <v>610</v>
      </c>
      <c r="F11" s="117"/>
      <c r="G11" s="117"/>
      <c r="H11" s="117"/>
      <c r="I11" s="41"/>
      <c r="J11" s="122">
        <f>1*2*33*7.5*1.042</f>
        <v>515.79</v>
      </c>
      <c r="K11" s="119" t="s">
        <v>252</v>
      </c>
    </row>
    <row r="12" spans="1:11" ht="15.75">
      <c r="A12" s="50"/>
      <c r="B12" s="33" t="s">
        <v>210</v>
      </c>
      <c r="C12" s="38"/>
      <c r="D12" s="117"/>
      <c r="E12" s="117" t="s">
        <v>611</v>
      </c>
      <c r="F12" s="117"/>
      <c r="G12" s="117"/>
      <c r="H12" s="117"/>
      <c r="I12" s="41"/>
      <c r="J12" s="122">
        <f>1*2*18*12.5*1.042</f>
        <v>468.90000000000003</v>
      </c>
      <c r="K12" s="119" t="s">
        <v>252</v>
      </c>
    </row>
    <row r="13" spans="1:11" ht="15.75">
      <c r="A13" s="50"/>
      <c r="B13" s="33" t="s">
        <v>212</v>
      </c>
      <c r="C13" s="38"/>
      <c r="D13" s="117"/>
      <c r="E13" s="117" t="s">
        <v>612</v>
      </c>
      <c r="F13" s="117"/>
      <c r="G13" s="117"/>
      <c r="H13" s="117"/>
      <c r="I13" s="41"/>
      <c r="J13" s="122">
        <f>1*2*160*6.5*1.042</f>
        <v>2167.36</v>
      </c>
      <c r="K13" s="119" t="s">
        <v>252</v>
      </c>
    </row>
    <row r="14" spans="1:11" ht="15.75">
      <c r="A14" s="50"/>
      <c r="B14" s="33" t="s">
        <v>210</v>
      </c>
      <c r="C14" s="38"/>
      <c r="D14" s="117"/>
      <c r="E14" s="117" t="s">
        <v>613</v>
      </c>
      <c r="F14" s="117"/>
      <c r="G14" s="117"/>
      <c r="H14" s="117"/>
      <c r="I14" s="41"/>
      <c r="J14" s="122">
        <f>1*2*15*54*1.042</f>
        <v>1688.04</v>
      </c>
      <c r="K14" s="119" t="s">
        <v>252</v>
      </c>
    </row>
    <row r="15" spans="1:11" ht="15.75">
      <c r="A15" s="50"/>
      <c r="B15" s="33" t="s">
        <v>212</v>
      </c>
      <c r="C15" s="38"/>
      <c r="D15" s="117"/>
      <c r="E15" s="117" t="s">
        <v>614</v>
      </c>
      <c r="F15" s="117"/>
      <c r="G15" s="117"/>
      <c r="H15" s="117"/>
      <c r="I15" s="41"/>
      <c r="J15" s="122">
        <f>1*2*30*6.5*1.042</f>
        <v>406.38</v>
      </c>
      <c r="K15" s="119" t="s">
        <v>252</v>
      </c>
    </row>
    <row r="16" spans="1:11" ht="15.75">
      <c r="A16" s="50"/>
      <c r="B16" s="33" t="s">
        <v>210</v>
      </c>
      <c r="C16" s="38"/>
      <c r="D16" s="117"/>
      <c r="E16" s="117" t="s">
        <v>615</v>
      </c>
      <c r="F16" s="117"/>
      <c r="G16" s="117"/>
      <c r="H16" s="117"/>
      <c r="I16" s="41"/>
      <c r="J16" s="122">
        <f>1*2*15*11.5*1.042</f>
        <v>359.49</v>
      </c>
      <c r="K16" s="119" t="s">
        <v>252</v>
      </c>
    </row>
    <row r="17" spans="1:12" ht="15.75">
      <c r="A17" s="50"/>
      <c r="B17" s="33" t="s">
        <v>212</v>
      </c>
      <c r="C17" s="38"/>
      <c r="D17" s="117"/>
      <c r="E17" s="117" t="s">
        <v>616</v>
      </c>
      <c r="F17" s="117"/>
      <c r="G17" s="117"/>
      <c r="H17" s="117"/>
      <c r="I17" s="41"/>
      <c r="J17" s="122">
        <f>1*2*32*6.5*1.042</f>
        <v>433.47200000000004</v>
      </c>
      <c r="K17" s="119" t="s">
        <v>252</v>
      </c>
    </row>
    <row r="18" spans="1:12" ht="15.75">
      <c r="A18" s="50"/>
      <c r="B18" s="33" t="s">
        <v>210</v>
      </c>
      <c r="C18" s="38"/>
      <c r="D18" s="117"/>
      <c r="E18" s="117" t="s">
        <v>617</v>
      </c>
      <c r="F18" s="117"/>
      <c r="G18" s="117"/>
      <c r="H18" s="117"/>
      <c r="I18" s="41"/>
      <c r="J18" s="122">
        <f>1*2*15*12*1.042</f>
        <v>375.12</v>
      </c>
      <c r="K18" s="119" t="s">
        <v>252</v>
      </c>
    </row>
    <row r="19" spans="1:12" ht="15.75">
      <c r="A19" s="50"/>
      <c r="B19" s="33" t="s">
        <v>622</v>
      </c>
      <c r="C19" s="38"/>
      <c r="D19" s="117"/>
      <c r="E19" s="117" t="s">
        <v>618</v>
      </c>
      <c r="F19" s="117"/>
      <c r="G19" s="117"/>
      <c r="H19" s="117"/>
      <c r="I19" s="41"/>
      <c r="J19" s="122">
        <f>2*2*50*5.5*1.042</f>
        <v>1146.2</v>
      </c>
      <c r="K19" s="119" t="s">
        <v>252</v>
      </c>
    </row>
    <row r="20" spans="1:12" ht="15.75">
      <c r="A20" s="50"/>
      <c r="B20" s="33" t="s">
        <v>210</v>
      </c>
      <c r="C20" s="38"/>
      <c r="D20" s="117"/>
      <c r="E20" s="117" t="s">
        <v>619</v>
      </c>
      <c r="F20" s="117"/>
      <c r="G20" s="117"/>
      <c r="H20" s="117"/>
      <c r="I20" s="41"/>
      <c r="J20" s="122">
        <f>2*2*12*18*1.042</f>
        <v>900.28800000000001</v>
      </c>
      <c r="K20" s="119" t="s">
        <v>252</v>
      </c>
    </row>
    <row r="21" spans="1:12" ht="15" customHeight="1">
      <c r="A21" s="50"/>
      <c r="B21" s="33" t="s">
        <v>213</v>
      </c>
      <c r="C21" s="38"/>
      <c r="D21" s="117"/>
      <c r="E21" s="117" t="s">
        <v>620</v>
      </c>
      <c r="F21" s="117"/>
      <c r="G21" s="117"/>
      <c r="H21" s="117"/>
      <c r="I21" s="41"/>
      <c r="J21" s="122">
        <f>21*8*11*1.042</f>
        <v>1925.616</v>
      </c>
      <c r="K21" s="119" t="s">
        <v>252</v>
      </c>
      <c r="L21" s="13"/>
    </row>
    <row r="22" spans="1:12" ht="15" customHeight="1">
      <c r="A22" s="50"/>
      <c r="B22" s="33" t="s">
        <v>218</v>
      </c>
      <c r="C22" s="38"/>
      <c r="D22" s="117"/>
      <c r="E22" s="117" t="s">
        <v>621</v>
      </c>
      <c r="F22" s="117"/>
      <c r="G22" s="117"/>
      <c r="H22" s="117"/>
      <c r="I22" s="41"/>
      <c r="J22" s="122">
        <f>21*2*17*4*0.375</f>
        <v>1071</v>
      </c>
      <c r="K22" s="119" t="s">
        <v>252</v>
      </c>
      <c r="L22" s="13"/>
    </row>
    <row r="23" spans="1:12" ht="15" customHeight="1">
      <c r="A23" s="50"/>
      <c r="B23" s="33"/>
      <c r="C23" s="38"/>
      <c r="D23" s="117"/>
      <c r="E23" s="117"/>
      <c r="F23" s="117"/>
      <c r="G23" s="117"/>
      <c r="H23" s="117"/>
      <c r="I23" s="41"/>
      <c r="J23" s="167">
        <f>SUM(J9:J22)</f>
        <v>15984.104000000001</v>
      </c>
      <c r="K23" s="121" t="s">
        <v>252</v>
      </c>
      <c r="L23" s="13"/>
    </row>
    <row r="24" spans="1:12" ht="15" customHeight="1">
      <c r="A24" s="50"/>
      <c r="B24" s="33" t="s">
        <v>623</v>
      </c>
      <c r="C24" s="38"/>
      <c r="D24" s="117"/>
      <c r="E24" s="117"/>
      <c r="F24" s="117"/>
      <c r="G24" s="117"/>
      <c r="H24" s="117"/>
      <c r="I24" s="41"/>
      <c r="J24" s="122"/>
      <c r="K24" s="119"/>
      <c r="L24" s="13"/>
    </row>
    <row r="25" spans="1:12" ht="15" customHeight="1">
      <c r="A25" s="78"/>
      <c r="B25" s="33" t="s">
        <v>624</v>
      </c>
      <c r="C25" s="38"/>
      <c r="D25" s="117"/>
      <c r="E25" s="117" t="s">
        <v>625</v>
      </c>
      <c r="F25" s="117"/>
      <c r="G25" s="117"/>
      <c r="H25" s="117"/>
      <c r="I25" s="41"/>
      <c r="J25" s="122">
        <f>4*4*18*1.042</f>
        <v>300.096</v>
      </c>
      <c r="K25" s="119" t="s">
        <v>252</v>
      </c>
      <c r="L25" s="13"/>
    </row>
    <row r="26" spans="1:12" ht="15" customHeight="1">
      <c r="A26" s="78"/>
      <c r="B26" s="8" t="s">
        <v>636</v>
      </c>
      <c r="C26" s="38"/>
      <c r="D26" s="117"/>
      <c r="E26" s="117" t="s">
        <v>626</v>
      </c>
      <c r="F26" s="117"/>
      <c r="G26" s="117"/>
      <c r="H26" s="117"/>
      <c r="I26" s="41"/>
      <c r="J26" s="122">
        <f>4*2*16.5*0.667</f>
        <v>88.044000000000011</v>
      </c>
      <c r="K26" s="119" t="s">
        <v>252</v>
      </c>
      <c r="L26" s="13"/>
    </row>
    <row r="27" spans="1:12" ht="15" customHeight="1">
      <c r="A27" s="78"/>
      <c r="B27" s="33" t="s">
        <v>218</v>
      </c>
      <c r="C27" s="38"/>
      <c r="D27" s="117"/>
      <c r="E27" s="117" t="s">
        <v>627</v>
      </c>
      <c r="F27" s="117"/>
      <c r="G27" s="117"/>
      <c r="H27" s="117"/>
      <c r="I27" s="41"/>
      <c r="J27" s="122">
        <f>4*32*5*0.375</f>
        <v>240</v>
      </c>
      <c r="K27" s="119" t="s">
        <v>252</v>
      </c>
      <c r="L27" s="13"/>
    </row>
    <row r="28" spans="1:12" ht="15" customHeight="1">
      <c r="A28" s="50"/>
      <c r="B28" s="33" t="s">
        <v>219</v>
      </c>
      <c r="C28" s="38"/>
      <c r="D28" s="117"/>
      <c r="E28" s="117" t="s">
        <v>216</v>
      </c>
      <c r="F28" s="117"/>
      <c r="G28" s="117"/>
      <c r="H28" s="117"/>
      <c r="I28" s="41"/>
      <c r="J28" s="122">
        <f>1*4*25*1.042</f>
        <v>104.2</v>
      </c>
      <c r="K28" s="119" t="s">
        <v>252</v>
      </c>
      <c r="L28" s="13"/>
    </row>
    <row r="29" spans="1:12" ht="15" customHeight="1">
      <c r="A29" s="50"/>
      <c r="B29" s="8" t="s">
        <v>636</v>
      </c>
      <c r="C29" s="38"/>
      <c r="D29" s="117"/>
      <c r="E29" s="117" t="s">
        <v>628</v>
      </c>
      <c r="F29" s="117"/>
      <c r="G29" s="117"/>
      <c r="H29" s="117"/>
      <c r="I29" s="41"/>
      <c r="J29" s="122">
        <f>1*2*23.5*0.667</f>
        <v>31.349</v>
      </c>
      <c r="K29" s="119" t="s">
        <v>252</v>
      </c>
      <c r="L29" s="13"/>
    </row>
    <row r="30" spans="1:12" ht="15" customHeight="1">
      <c r="A30" s="50"/>
      <c r="B30" s="33" t="s">
        <v>218</v>
      </c>
      <c r="C30" s="38"/>
      <c r="D30" s="117"/>
      <c r="E30" s="117" t="s">
        <v>629</v>
      </c>
      <c r="F30" s="117"/>
      <c r="G30" s="117"/>
      <c r="H30" s="117"/>
      <c r="I30" s="41"/>
      <c r="J30" s="122">
        <f>1*42*5*0.375</f>
        <v>78.75</v>
      </c>
      <c r="K30" s="119" t="s">
        <v>252</v>
      </c>
      <c r="L30" s="13"/>
    </row>
    <row r="31" spans="1:12" ht="15" customHeight="1">
      <c r="A31" s="50"/>
      <c r="B31" s="33" t="s">
        <v>220</v>
      </c>
      <c r="C31" s="38"/>
      <c r="D31" s="117"/>
      <c r="E31" s="117" t="s">
        <v>630</v>
      </c>
      <c r="F31" s="117"/>
      <c r="G31" s="117"/>
      <c r="H31" s="117"/>
      <c r="I31" s="41"/>
      <c r="J31" s="122">
        <f>1*4*32.5*1.042</f>
        <v>135.46</v>
      </c>
      <c r="K31" s="119" t="s">
        <v>252</v>
      </c>
      <c r="L31" s="13"/>
    </row>
    <row r="32" spans="1:12" ht="15" customHeight="1">
      <c r="A32" s="50"/>
      <c r="B32" s="33" t="s">
        <v>218</v>
      </c>
      <c r="C32" s="38"/>
      <c r="D32" s="117"/>
      <c r="E32" s="117" t="s">
        <v>631</v>
      </c>
      <c r="F32" s="117"/>
      <c r="G32" s="117"/>
      <c r="H32" s="117"/>
      <c r="I32" s="41"/>
      <c r="J32" s="122">
        <f>1*52*5*0.375</f>
        <v>97.5</v>
      </c>
      <c r="K32" s="119" t="s">
        <v>252</v>
      </c>
      <c r="L32" s="13"/>
    </row>
    <row r="33" spans="1:12" ht="15" customHeight="1">
      <c r="A33" s="50"/>
      <c r="B33" s="117" t="s">
        <v>221</v>
      </c>
      <c r="C33" s="38"/>
      <c r="D33" s="117"/>
      <c r="E33" s="117" t="s">
        <v>632</v>
      </c>
      <c r="F33" s="117"/>
      <c r="G33" s="117"/>
      <c r="H33" s="117"/>
      <c r="I33" s="41"/>
      <c r="J33" s="122">
        <f>1*5*15*1.042</f>
        <v>78.150000000000006</v>
      </c>
      <c r="K33" s="119" t="s">
        <v>252</v>
      </c>
      <c r="L33" s="13"/>
    </row>
    <row r="34" spans="1:12" ht="15" customHeight="1">
      <c r="A34" s="50"/>
      <c r="B34" s="33" t="s">
        <v>218</v>
      </c>
      <c r="C34" s="38"/>
      <c r="D34" s="117"/>
      <c r="E34" s="117" t="s">
        <v>633</v>
      </c>
      <c r="F34" s="117"/>
      <c r="G34" s="117"/>
      <c r="H34" s="117"/>
      <c r="I34" s="41"/>
      <c r="J34" s="122">
        <f>1*27*5*0.375</f>
        <v>50.625</v>
      </c>
      <c r="K34" s="119" t="s">
        <v>252</v>
      </c>
      <c r="L34" s="13"/>
    </row>
    <row r="35" spans="1:12" ht="15" customHeight="1">
      <c r="A35" s="50"/>
      <c r="B35" s="8" t="s">
        <v>223</v>
      </c>
      <c r="C35" s="38"/>
      <c r="D35" s="117"/>
      <c r="E35" s="117" t="s">
        <v>634</v>
      </c>
      <c r="F35" s="117"/>
      <c r="G35" s="117"/>
      <c r="H35" s="117"/>
      <c r="I35" s="41"/>
      <c r="J35" s="122">
        <f>1*4*24*1.042</f>
        <v>100.03200000000001</v>
      </c>
      <c r="K35" s="119" t="s">
        <v>252</v>
      </c>
      <c r="L35" s="13"/>
    </row>
    <row r="36" spans="1:12" ht="15" customHeight="1">
      <c r="B36" s="8" t="s">
        <v>222</v>
      </c>
      <c r="E36" s="117" t="s">
        <v>635</v>
      </c>
      <c r="J36" s="9">
        <f>1*2*22.5*0.667</f>
        <v>30.015000000000001</v>
      </c>
      <c r="K36" s="119" t="s">
        <v>252</v>
      </c>
      <c r="L36" s="13"/>
    </row>
    <row r="37" spans="1:12" ht="15" customHeight="1">
      <c r="B37" s="8" t="s">
        <v>218</v>
      </c>
      <c r="E37" s="117" t="s">
        <v>217</v>
      </c>
      <c r="J37" s="9">
        <f>1*40*5*0.375</f>
        <v>75</v>
      </c>
      <c r="K37" s="119" t="s">
        <v>252</v>
      </c>
      <c r="L37" s="13"/>
    </row>
    <row r="38" spans="1:12" ht="15" customHeight="1">
      <c r="A38" s="50"/>
      <c r="B38" s="8" t="s">
        <v>224</v>
      </c>
      <c r="C38" s="38"/>
      <c r="D38" s="117"/>
      <c r="E38" s="8" t="s">
        <v>637</v>
      </c>
      <c r="F38" s="117"/>
      <c r="G38" s="117"/>
      <c r="H38" s="117"/>
      <c r="I38" s="41"/>
      <c r="J38" s="122">
        <f>1*4*23.5*1.042</f>
        <v>97.948000000000008</v>
      </c>
      <c r="K38" s="119" t="s">
        <v>252</v>
      </c>
      <c r="L38" s="13"/>
    </row>
    <row r="39" spans="1:12" ht="15" customHeight="1">
      <c r="A39" s="50"/>
      <c r="B39" s="117" t="s">
        <v>218</v>
      </c>
      <c r="C39" s="38"/>
      <c r="D39" s="117"/>
      <c r="E39" s="8" t="s">
        <v>638</v>
      </c>
      <c r="F39" s="117"/>
      <c r="G39" s="117"/>
      <c r="H39" s="117"/>
      <c r="I39" s="41"/>
      <c r="J39" s="130">
        <f>1*43*5*0.375</f>
        <v>80.625</v>
      </c>
      <c r="K39" s="119" t="s">
        <v>252</v>
      </c>
      <c r="L39" s="13"/>
    </row>
    <row r="40" spans="1:12" ht="15" customHeight="1">
      <c r="A40" s="50"/>
      <c r="B40" s="33" t="s">
        <v>225</v>
      </c>
      <c r="C40" s="38"/>
      <c r="D40" s="117"/>
      <c r="E40" s="8" t="s">
        <v>639</v>
      </c>
      <c r="F40" s="117"/>
      <c r="G40" s="117"/>
      <c r="H40" s="117"/>
      <c r="I40" s="41"/>
      <c r="J40" s="130">
        <f>3*4*13.5*1.042</f>
        <v>168.804</v>
      </c>
      <c r="K40" s="119" t="s">
        <v>252</v>
      </c>
      <c r="L40" s="13"/>
    </row>
    <row r="41" spans="1:12" ht="15" customHeight="1">
      <c r="A41" s="50"/>
      <c r="B41" s="33" t="s">
        <v>218</v>
      </c>
      <c r="C41" s="38"/>
      <c r="D41" s="117"/>
      <c r="E41" s="117" t="s">
        <v>640</v>
      </c>
      <c r="F41" s="117"/>
      <c r="G41" s="117"/>
      <c r="H41" s="117"/>
      <c r="I41" s="41"/>
      <c r="J41" s="122">
        <f>3*24*5*0.375</f>
        <v>135</v>
      </c>
      <c r="K41" s="119" t="s">
        <v>252</v>
      </c>
      <c r="L41" s="13"/>
    </row>
    <row r="42" spans="1:12" ht="15" customHeight="1">
      <c r="A42" s="50"/>
      <c r="B42" s="8" t="s">
        <v>226</v>
      </c>
      <c r="C42" s="38"/>
      <c r="D42" s="117"/>
      <c r="E42" s="117" t="s">
        <v>641</v>
      </c>
      <c r="F42" s="117"/>
      <c r="G42" s="117"/>
      <c r="H42" s="117"/>
      <c r="I42" s="41"/>
      <c r="J42" s="122">
        <f>1*4*33*1.042</f>
        <v>137.54400000000001</v>
      </c>
      <c r="K42" s="119" t="s">
        <v>252</v>
      </c>
      <c r="L42" s="13"/>
    </row>
    <row r="43" spans="1:12" ht="15" customHeight="1">
      <c r="A43" s="50"/>
      <c r="B43" s="117" t="s">
        <v>218</v>
      </c>
      <c r="C43" s="38"/>
      <c r="D43" s="117"/>
      <c r="E43" s="117" t="s">
        <v>642</v>
      </c>
      <c r="F43" s="117"/>
      <c r="G43" s="117"/>
      <c r="H43" s="117"/>
      <c r="I43" s="41"/>
      <c r="J43" s="122">
        <f>1*48*5*0.375</f>
        <v>90</v>
      </c>
      <c r="K43" s="119" t="s">
        <v>252</v>
      </c>
      <c r="L43" s="13"/>
    </row>
    <row r="44" spans="1:12" ht="15" customHeight="1">
      <c r="A44" s="50"/>
      <c r="B44" s="33" t="s">
        <v>227</v>
      </c>
      <c r="C44" s="38"/>
      <c r="D44" s="117"/>
      <c r="E44" s="117" t="s">
        <v>643</v>
      </c>
      <c r="F44" s="117"/>
      <c r="G44" s="117"/>
      <c r="H44" s="117"/>
      <c r="I44" s="41"/>
      <c r="J44" s="122">
        <f>1*4*21.5*1.042</f>
        <v>89.612000000000009</v>
      </c>
      <c r="K44" s="119" t="s">
        <v>252</v>
      </c>
      <c r="L44" s="13"/>
    </row>
    <row r="45" spans="1:12" ht="15" customHeight="1">
      <c r="A45" s="50"/>
      <c r="B45" s="33" t="s">
        <v>218</v>
      </c>
      <c r="C45" s="38"/>
      <c r="D45" s="117"/>
      <c r="E45" s="117" t="s">
        <v>644</v>
      </c>
      <c r="F45" s="117"/>
      <c r="G45" s="117"/>
      <c r="H45" s="117"/>
      <c r="I45" s="41"/>
      <c r="J45" s="122">
        <f>1*38*5*0.375</f>
        <v>71.25</v>
      </c>
      <c r="K45" s="119" t="s">
        <v>252</v>
      </c>
      <c r="L45" s="13"/>
    </row>
    <row r="46" spans="1:12" ht="15" customHeight="1">
      <c r="A46" s="50"/>
      <c r="B46" s="33" t="s">
        <v>228</v>
      </c>
      <c r="C46" s="38"/>
      <c r="D46" s="117"/>
      <c r="E46" s="117" t="s">
        <v>645</v>
      </c>
      <c r="F46" s="117"/>
      <c r="G46" s="117"/>
      <c r="H46" s="117"/>
      <c r="I46" s="41"/>
      <c r="J46" s="122">
        <f>1*4*24.5*1.042</f>
        <v>102.116</v>
      </c>
      <c r="K46" s="119" t="s">
        <v>252</v>
      </c>
      <c r="L46" s="13"/>
    </row>
    <row r="47" spans="1:12" ht="15" customHeight="1">
      <c r="A47" s="50"/>
      <c r="B47" s="33" t="s">
        <v>218</v>
      </c>
      <c r="C47" s="38"/>
      <c r="D47" s="117"/>
      <c r="E47" s="117" t="s">
        <v>644</v>
      </c>
      <c r="F47" s="117"/>
      <c r="G47" s="117"/>
      <c r="H47" s="117"/>
      <c r="I47" s="41"/>
      <c r="J47" s="122">
        <f>1*38*5*0.375</f>
        <v>71.25</v>
      </c>
      <c r="K47" s="119" t="s">
        <v>252</v>
      </c>
      <c r="L47" s="13"/>
    </row>
    <row r="48" spans="1:12" ht="15" customHeight="1">
      <c r="A48" s="50"/>
      <c r="C48" s="38"/>
      <c r="D48" s="117"/>
      <c r="F48" s="117"/>
      <c r="G48" s="117"/>
      <c r="H48" s="117"/>
      <c r="I48" s="41"/>
      <c r="J48" s="168">
        <f>SUM(J25:J47)</f>
        <v>2453.3700000000008</v>
      </c>
      <c r="K48" s="121" t="s">
        <v>252</v>
      </c>
      <c r="L48" s="13"/>
    </row>
    <row r="49" spans="1:12" ht="15" customHeight="1">
      <c r="A49" s="50"/>
      <c r="C49" s="38"/>
      <c r="D49" s="117"/>
      <c r="F49" s="117"/>
      <c r="G49" s="117"/>
      <c r="H49" s="117"/>
      <c r="I49" s="41"/>
      <c r="J49" s="130"/>
      <c r="K49" s="119"/>
      <c r="L49" s="13"/>
    </row>
    <row r="50" spans="1:12" ht="15" customHeight="1">
      <c r="A50" s="50"/>
      <c r="C50" s="38"/>
      <c r="D50" s="117"/>
      <c r="E50" s="117"/>
      <c r="F50" s="117"/>
      <c r="G50" s="117"/>
      <c r="H50" s="117"/>
      <c r="I50" s="41"/>
      <c r="J50" s="167">
        <f>SUM(J23+J48)</f>
        <v>18437.474000000002</v>
      </c>
      <c r="K50" s="121" t="s">
        <v>252</v>
      </c>
      <c r="L50" s="13"/>
    </row>
    <row r="51" spans="1:12" ht="15" customHeight="1">
      <c r="A51" s="50"/>
      <c r="C51" s="38"/>
      <c r="D51" s="117"/>
      <c r="E51" s="117"/>
      <c r="F51" s="117"/>
      <c r="G51" s="117"/>
      <c r="H51" s="117"/>
      <c r="I51" s="41"/>
      <c r="J51" s="122"/>
      <c r="K51" s="119"/>
      <c r="L51" s="13"/>
    </row>
    <row r="52" spans="1:12" ht="15" customHeight="1">
      <c r="A52" s="50"/>
      <c r="C52" s="38"/>
      <c r="D52" s="117"/>
      <c r="E52" s="117" t="s">
        <v>646</v>
      </c>
      <c r="F52" s="117"/>
      <c r="G52" s="117"/>
      <c r="H52" s="117"/>
      <c r="I52" s="41"/>
      <c r="J52" s="167">
        <f>18437.47/112</f>
        <v>164.62026785714286</v>
      </c>
      <c r="K52" s="121" t="s">
        <v>253</v>
      </c>
      <c r="L52" s="13"/>
    </row>
    <row r="53" spans="1:12" ht="15" customHeight="1">
      <c r="A53" s="50"/>
      <c r="B53" s="163" t="s">
        <v>229</v>
      </c>
      <c r="C53" s="38"/>
      <c r="D53" s="117"/>
      <c r="E53" s="117"/>
      <c r="F53" s="117"/>
      <c r="G53" s="117"/>
      <c r="H53" s="117"/>
      <c r="I53" s="41"/>
      <c r="J53" s="120"/>
      <c r="K53" s="121"/>
      <c r="L53" s="13"/>
    </row>
    <row r="54" spans="1:12" ht="15" customHeight="1">
      <c r="A54" s="50"/>
      <c r="B54" s="33" t="s">
        <v>231</v>
      </c>
      <c r="C54" s="38"/>
      <c r="D54" s="117"/>
      <c r="E54" s="117" t="s">
        <v>647</v>
      </c>
      <c r="F54" s="117"/>
      <c r="G54" s="117"/>
      <c r="H54" s="117"/>
      <c r="I54" s="41"/>
      <c r="J54" s="118">
        <f>21*8*13.5*1.042</f>
        <v>2363.2559999999999</v>
      </c>
      <c r="K54" s="119" t="s">
        <v>252</v>
      </c>
      <c r="L54" s="13"/>
    </row>
    <row r="55" spans="1:12" ht="15" customHeight="1">
      <c r="A55" s="50"/>
      <c r="B55" s="33" t="s">
        <v>230</v>
      </c>
      <c r="C55" s="38"/>
      <c r="D55" s="117"/>
      <c r="E55" s="117" t="s">
        <v>648</v>
      </c>
      <c r="F55" s="117"/>
      <c r="G55" s="117"/>
      <c r="H55" s="117"/>
      <c r="I55" s="41"/>
      <c r="J55" s="118">
        <f>21*2*22*4*0.375</f>
        <v>1386</v>
      </c>
      <c r="K55" s="119" t="s">
        <v>252</v>
      </c>
      <c r="L55" s="13"/>
    </row>
    <row r="56" spans="1:12" ht="15" customHeight="1">
      <c r="A56" s="50"/>
      <c r="B56" s="33" t="s">
        <v>236</v>
      </c>
      <c r="C56" s="38"/>
      <c r="D56" s="117"/>
      <c r="E56" s="117" t="s">
        <v>625</v>
      </c>
      <c r="F56" s="117"/>
      <c r="G56" s="117"/>
      <c r="H56" s="117"/>
      <c r="I56" s="41"/>
      <c r="J56" s="118">
        <f>4*4*18*1.042</f>
        <v>300.096</v>
      </c>
      <c r="K56" s="119" t="s">
        <v>252</v>
      </c>
      <c r="L56" s="13"/>
    </row>
    <row r="57" spans="1:12" ht="15" customHeight="1">
      <c r="A57" s="50"/>
      <c r="B57" s="33" t="s">
        <v>242</v>
      </c>
      <c r="C57" s="38"/>
      <c r="D57" s="117"/>
      <c r="E57" s="117" t="s">
        <v>649</v>
      </c>
      <c r="F57" s="117"/>
      <c r="G57" s="117"/>
      <c r="H57" s="117"/>
      <c r="I57" s="41"/>
      <c r="J57" s="118">
        <f>4*2*12.5*0.667</f>
        <v>66.7</v>
      </c>
      <c r="K57" s="119" t="s">
        <v>252</v>
      </c>
      <c r="L57" s="13"/>
    </row>
    <row r="58" spans="1:12" ht="15" customHeight="1">
      <c r="A58" s="50"/>
      <c r="B58" s="33" t="s">
        <v>237</v>
      </c>
      <c r="C58" s="38"/>
      <c r="D58" s="117"/>
      <c r="E58" s="117" t="s">
        <v>626</v>
      </c>
      <c r="F58" s="117"/>
      <c r="G58" s="117"/>
      <c r="H58" s="117"/>
      <c r="I58" s="41"/>
      <c r="J58" s="118">
        <f>4*2*16.5*0.667</f>
        <v>88.044000000000011</v>
      </c>
      <c r="K58" s="119" t="s">
        <v>252</v>
      </c>
      <c r="L58" s="13"/>
    </row>
    <row r="59" spans="1:12" ht="15" customHeight="1">
      <c r="A59" s="50"/>
      <c r="B59" s="33" t="s">
        <v>238</v>
      </c>
      <c r="C59" s="38"/>
      <c r="D59" s="117"/>
      <c r="E59" s="117" t="s">
        <v>650</v>
      </c>
      <c r="F59" s="117"/>
      <c r="G59" s="117"/>
      <c r="H59" s="117"/>
      <c r="I59" s="41"/>
      <c r="J59" s="118">
        <f>4*32*9*0.375</f>
        <v>432</v>
      </c>
      <c r="K59" s="119" t="s">
        <v>252</v>
      </c>
      <c r="L59" s="13"/>
    </row>
    <row r="60" spans="1:12" ht="15" customHeight="1">
      <c r="A60" s="50"/>
      <c r="B60" s="33" t="s">
        <v>239</v>
      </c>
      <c r="C60" s="38"/>
      <c r="D60" s="117"/>
      <c r="E60" s="117" t="s">
        <v>216</v>
      </c>
      <c r="F60" s="117"/>
      <c r="G60" s="117"/>
      <c r="H60" s="117"/>
      <c r="I60" s="41"/>
      <c r="J60" s="118">
        <f>1*4*25*1.042</f>
        <v>104.2</v>
      </c>
      <c r="K60" s="119" t="s">
        <v>252</v>
      </c>
      <c r="L60" s="13"/>
    </row>
    <row r="61" spans="1:12" ht="15" customHeight="1">
      <c r="A61" s="50"/>
      <c r="B61" s="33" t="s">
        <v>242</v>
      </c>
      <c r="C61" s="38"/>
      <c r="D61" s="117"/>
      <c r="E61" s="117" t="s">
        <v>651</v>
      </c>
      <c r="F61" s="117"/>
      <c r="G61" s="117"/>
      <c r="H61" s="117"/>
      <c r="I61" s="41"/>
      <c r="J61" s="118">
        <f>1*2*11.5*0.667</f>
        <v>15.341000000000001</v>
      </c>
      <c r="K61" s="119" t="s">
        <v>252</v>
      </c>
      <c r="L61" s="13"/>
    </row>
    <row r="62" spans="1:12" ht="15" customHeight="1">
      <c r="A62" s="50"/>
      <c r="B62" s="33" t="s">
        <v>240</v>
      </c>
      <c r="C62" s="38"/>
      <c r="D62" s="117"/>
      <c r="E62" s="117" t="s">
        <v>628</v>
      </c>
      <c r="F62" s="117"/>
      <c r="G62" s="117"/>
      <c r="H62" s="117"/>
      <c r="I62" s="41"/>
      <c r="J62" s="118">
        <f>1*2*23.5*0.667</f>
        <v>31.349</v>
      </c>
      <c r="K62" s="119" t="s">
        <v>252</v>
      </c>
      <c r="L62" s="13"/>
    </row>
    <row r="63" spans="1:12" ht="15" customHeight="1">
      <c r="A63" s="50"/>
      <c r="B63" s="33" t="s">
        <v>218</v>
      </c>
      <c r="C63" s="38"/>
      <c r="D63" s="117"/>
      <c r="E63" s="117" t="s">
        <v>232</v>
      </c>
      <c r="F63" s="117"/>
      <c r="G63" s="117"/>
      <c r="H63" s="117"/>
      <c r="I63" s="41"/>
      <c r="J63" s="118">
        <f>1*42*9*0.375</f>
        <v>141.75</v>
      </c>
      <c r="K63" s="119" t="s">
        <v>252</v>
      </c>
      <c r="L63" s="13"/>
    </row>
    <row r="64" spans="1:12" ht="15" customHeight="1">
      <c r="A64" s="50"/>
      <c r="B64" s="33" t="s">
        <v>241</v>
      </c>
      <c r="C64" s="38"/>
      <c r="D64" s="117"/>
      <c r="E64" s="117" t="s">
        <v>630</v>
      </c>
      <c r="F64" s="117"/>
      <c r="G64" s="117"/>
      <c r="H64" s="117"/>
      <c r="I64" s="41"/>
      <c r="J64" s="118">
        <f>1*4*32.5*1.042</f>
        <v>135.46</v>
      </c>
      <c r="K64" s="119" t="s">
        <v>252</v>
      </c>
      <c r="L64" s="13"/>
    </row>
    <row r="65" spans="1:12" ht="15" customHeight="1">
      <c r="A65" s="50"/>
      <c r="B65" s="33" t="s">
        <v>243</v>
      </c>
      <c r="C65" s="38"/>
      <c r="D65" s="117"/>
      <c r="E65" s="117" t="s">
        <v>652</v>
      </c>
      <c r="F65" s="117"/>
      <c r="G65" s="117"/>
      <c r="H65" s="117"/>
      <c r="I65" s="41"/>
      <c r="J65" s="120">
        <f>1*2*31*0.667</f>
        <v>41.353999999999999</v>
      </c>
      <c r="K65" s="119" t="s">
        <v>252</v>
      </c>
      <c r="L65" s="13"/>
    </row>
    <row r="66" spans="1:12" ht="15" customHeight="1">
      <c r="A66" s="50"/>
      <c r="B66" s="33" t="s">
        <v>218</v>
      </c>
      <c r="C66" s="38"/>
      <c r="D66" s="117"/>
      <c r="E66" s="117" t="s">
        <v>653</v>
      </c>
      <c r="F66" s="117"/>
      <c r="G66" s="117"/>
      <c r="H66" s="117"/>
      <c r="I66" s="41"/>
      <c r="J66" s="118">
        <f>1*52*9*0.375</f>
        <v>175.5</v>
      </c>
      <c r="K66" s="119" t="s">
        <v>252</v>
      </c>
      <c r="L66" s="13"/>
    </row>
    <row r="67" spans="1:12" ht="15" customHeight="1">
      <c r="A67" s="50"/>
      <c r="B67" s="33" t="s">
        <v>244</v>
      </c>
      <c r="C67" s="38"/>
      <c r="D67" s="117"/>
      <c r="E67" s="117" t="s">
        <v>632</v>
      </c>
      <c r="F67" s="117"/>
      <c r="G67" s="117"/>
      <c r="H67" s="117"/>
      <c r="I67" s="41"/>
      <c r="J67" s="118">
        <f>1*5*15*1.042</f>
        <v>78.150000000000006</v>
      </c>
      <c r="K67" s="119" t="s">
        <v>252</v>
      </c>
      <c r="L67" s="13"/>
    </row>
    <row r="68" spans="1:12" ht="15" customHeight="1">
      <c r="A68" s="50"/>
      <c r="B68" s="33" t="s">
        <v>243</v>
      </c>
      <c r="C68" s="38"/>
      <c r="D68" s="117"/>
      <c r="E68" s="117" t="s">
        <v>214</v>
      </c>
      <c r="F68" s="117"/>
      <c r="G68" s="117"/>
      <c r="H68" s="117"/>
      <c r="I68" s="41"/>
      <c r="J68" s="118">
        <f>1*2*13.5*0.667</f>
        <v>18.009</v>
      </c>
      <c r="K68" s="119" t="s">
        <v>252</v>
      </c>
      <c r="L68" s="13"/>
    </row>
    <row r="69" spans="1:12" ht="15" customHeight="1">
      <c r="A69" s="50"/>
      <c r="B69" s="33" t="s">
        <v>222</v>
      </c>
      <c r="C69" s="38"/>
      <c r="D69" s="117"/>
      <c r="E69" s="117" t="s">
        <v>654</v>
      </c>
      <c r="F69" s="117"/>
      <c r="G69" s="117"/>
      <c r="H69" s="117"/>
      <c r="I69" s="41"/>
      <c r="J69" s="118">
        <f>1*27*9*0.375</f>
        <v>91.125</v>
      </c>
      <c r="K69" s="119" t="s">
        <v>252</v>
      </c>
      <c r="L69" s="13"/>
    </row>
    <row r="70" spans="1:12" ht="15" customHeight="1">
      <c r="A70" s="50"/>
      <c r="B70" s="33" t="s">
        <v>245</v>
      </c>
      <c r="C70" s="38"/>
      <c r="D70" s="117"/>
      <c r="E70" s="117" t="s">
        <v>634</v>
      </c>
      <c r="F70" s="117"/>
      <c r="G70" s="117"/>
      <c r="H70" s="117"/>
      <c r="I70" s="41"/>
      <c r="J70" s="118">
        <f>1*4*24*1.042</f>
        <v>100.03200000000001</v>
      </c>
      <c r="K70" s="119" t="s">
        <v>252</v>
      </c>
      <c r="L70" s="13"/>
    </row>
    <row r="71" spans="1:12" ht="15" customHeight="1">
      <c r="A71" s="50"/>
      <c r="B71" s="33" t="s">
        <v>242</v>
      </c>
      <c r="C71" s="38"/>
      <c r="D71" s="117"/>
      <c r="E71" s="117" t="s">
        <v>215</v>
      </c>
      <c r="F71" s="117"/>
      <c r="G71" s="117"/>
      <c r="H71" s="117"/>
      <c r="I71" s="41"/>
      <c r="J71" s="118">
        <f>1*2*12.5*0.667</f>
        <v>16.675000000000001</v>
      </c>
      <c r="K71" s="119" t="s">
        <v>252</v>
      </c>
      <c r="L71" s="13"/>
    </row>
    <row r="72" spans="1:12" ht="15" customHeight="1">
      <c r="A72" s="50"/>
      <c r="B72" s="33" t="s">
        <v>240</v>
      </c>
      <c r="C72" s="38"/>
      <c r="D72" s="117"/>
      <c r="E72" s="117" t="s">
        <v>663</v>
      </c>
      <c r="F72" s="117"/>
      <c r="G72" s="117"/>
      <c r="H72" s="117"/>
      <c r="I72" s="41"/>
      <c r="J72" s="118">
        <f>1*2*23*0.667</f>
        <v>30.682000000000002</v>
      </c>
      <c r="K72" s="119" t="s">
        <v>252</v>
      </c>
      <c r="L72" s="13"/>
    </row>
    <row r="73" spans="1:12" ht="15" customHeight="1">
      <c r="A73" s="50"/>
      <c r="B73" s="33" t="s">
        <v>218</v>
      </c>
      <c r="C73" s="38"/>
      <c r="D73" s="117"/>
      <c r="E73" s="117" t="s">
        <v>664</v>
      </c>
      <c r="F73" s="117"/>
      <c r="G73" s="117"/>
      <c r="H73" s="117"/>
      <c r="I73" s="41"/>
      <c r="J73" s="118">
        <f>1*40*9*0.375</f>
        <v>135</v>
      </c>
      <c r="K73" s="119" t="s">
        <v>252</v>
      </c>
      <c r="L73" s="13"/>
    </row>
    <row r="74" spans="1:12" ht="15" customHeight="1">
      <c r="A74" s="50"/>
      <c r="B74" s="33" t="s">
        <v>246</v>
      </c>
      <c r="C74" s="38"/>
      <c r="D74" s="117"/>
      <c r="E74" s="117" t="s">
        <v>665</v>
      </c>
      <c r="F74" s="117"/>
      <c r="G74" s="117"/>
      <c r="H74" s="117"/>
      <c r="I74" s="41"/>
      <c r="J74" s="118">
        <f>1*4*23*1.042</f>
        <v>95.864000000000004</v>
      </c>
      <c r="K74" s="119" t="s">
        <v>252</v>
      </c>
      <c r="L74" s="13"/>
    </row>
    <row r="75" spans="1:12" ht="15" customHeight="1">
      <c r="A75" s="50"/>
      <c r="B75" s="33" t="s">
        <v>240</v>
      </c>
      <c r="C75" s="38"/>
      <c r="D75" s="117"/>
      <c r="E75" s="117" t="s">
        <v>666</v>
      </c>
      <c r="F75" s="117"/>
      <c r="G75" s="117"/>
      <c r="H75" s="117"/>
      <c r="I75" s="41"/>
      <c r="J75" s="118">
        <f>1*2*21.5*0.667</f>
        <v>28.681000000000001</v>
      </c>
      <c r="K75" s="119" t="s">
        <v>252</v>
      </c>
      <c r="L75" s="13"/>
    </row>
    <row r="76" spans="1:12" ht="15" customHeight="1">
      <c r="A76" s="50"/>
      <c r="B76" s="33" t="s">
        <v>218</v>
      </c>
      <c r="C76" s="38"/>
      <c r="D76" s="117"/>
      <c r="E76" s="117" t="s">
        <v>667</v>
      </c>
      <c r="F76" s="117"/>
      <c r="G76" s="117"/>
      <c r="H76" s="117"/>
      <c r="I76" s="41"/>
      <c r="J76" s="118">
        <f>1*43*9*0.375</f>
        <v>145.125</v>
      </c>
      <c r="K76" s="119" t="s">
        <v>252</v>
      </c>
      <c r="L76" s="13"/>
    </row>
    <row r="77" spans="1:12" ht="15" customHeight="1">
      <c r="A77" s="50"/>
      <c r="B77" s="33" t="s">
        <v>247</v>
      </c>
      <c r="C77" s="38"/>
      <c r="D77" s="117"/>
      <c r="E77" s="117" t="s">
        <v>639</v>
      </c>
      <c r="F77" s="117"/>
      <c r="G77" s="117"/>
      <c r="H77" s="117"/>
      <c r="I77" s="41"/>
      <c r="J77" s="118">
        <f>3*4*13.5*1.042</f>
        <v>168.804</v>
      </c>
      <c r="K77" s="119" t="s">
        <v>252</v>
      </c>
      <c r="L77" s="13"/>
    </row>
    <row r="78" spans="1:12" ht="15" customHeight="1">
      <c r="A78" s="50"/>
      <c r="B78" s="33" t="s">
        <v>240</v>
      </c>
      <c r="C78" s="38"/>
      <c r="D78" s="117"/>
      <c r="E78" s="117" t="s">
        <v>668</v>
      </c>
      <c r="F78" s="117"/>
      <c r="G78" s="117"/>
      <c r="H78" s="117"/>
      <c r="I78" s="41"/>
      <c r="J78" s="118">
        <f>3*2*12*0.667</f>
        <v>48.024000000000001</v>
      </c>
      <c r="K78" s="119" t="s">
        <v>252</v>
      </c>
      <c r="L78" s="13"/>
    </row>
    <row r="79" spans="1:12" ht="15" customHeight="1">
      <c r="A79" s="50"/>
      <c r="B79" s="33" t="s">
        <v>218</v>
      </c>
      <c r="C79" s="38"/>
      <c r="D79" s="117"/>
      <c r="E79" s="117" t="s">
        <v>669</v>
      </c>
      <c r="F79" s="117"/>
      <c r="G79" s="117"/>
      <c r="H79" s="117"/>
      <c r="I79" s="41"/>
      <c r="J79" s="118">
        <f>3*24*9*0.375</f>
        <v>243</v>
      </c>
      <c r="K79" s="119" t="s">
        <v>252</v>
      </c>
      <c r="L79" s="13"/>
    </row>
    <row r="80" spans="1:12" ht="15" customHeight="1">
      <c r="A80" s="50"/>
      <c r="B80" s="33" t="s">
        <v>248</v>
      </c>
      <c r="C80" s="38"/>
      <c r="D80" s="117"/>
      <c r="E80" s="117" t="s">
        <v>641</v>
      </c>
      <c r="F80" s="117"/>
      <c r="G80" s="117"/>
      <c r="H80" s="117"/>
      <c r="I80" s="41"/>
      <c r="J80" s="118">
        <f>1*4*33*1.042</f>
        <v>137.54400000000001</v>
      </c>
      <c r="K80" s="119" t="s">
        <v>252</v>
      </c>
      <c r="L80" s="13"/>
    </row>
    <row r="81" spans="1:12" ht="15" customHeight="1">
      <c r="A81" s="50"/>
      <c r="B81" s="33" t="s">
        <v>240</v>
      </c>
      <c r="C81" s="38"/>
      <c r="D81" s="117"/>
      <c r="E81" s="117" t="s">
        <v>670</v>
      </c>
      <c r="F81" s="117"/>
      <c r="G81" s="117"/>
      <c r="H81" s="117"/>
      <c r="I81" s="41"/>
      <c r="J81" s="118">
        <f>1*2*31.5*0.667</f>
        <v>42.021000000000001</v>
      </c>
      <c r="K81" s="119" t="s">
        <v>252</v>
      </c>
      <c r="L81" s="13"/>
    </row>
    <row r="82" spans="1:12" ht="15" customHeight="1">
      <c r="A82" s="50"/>
      <c r="B82" s="33" t="s">
        <v>218</v>
      </c>
      <c r="C82" s="38"/>
      <c r="D82" s="117"/>
      <c r="E82" s="117" t="s">
        <v>671</v>
      </c>
      <c r="F82" s="117"/>
      <c r="G82" s="117"/>
      <c r="H82" s="117"/>
      <c r="I82" s="41"/>
      <c r="J82" s="118">
        <f>1*48*9*0.375</f>
        <v>162</v>
      </c>
      <c r="K82" s="119" t="s">
        <v>252</v>
      </c>
    </row>
    <row r="83" spans="1:12" ht="15" customHeight="1">
      <c r="A83" s="50"/>
      <c r="B83" s="33" t="s">
        <v>249</v>
      </c>
      <c r="C83" s="38"/>
      <c r="D83" s="117"/>
      <c r="E83" s="117" t="s">
        <v>643</v>
      </c>
      <c r="F83" s="117"/>
      <c r="G83" s="117"/>
      <c r="H83" s="117"/>
      <c r="I83" s="41"/>
      <c r="J83" s="118">
        <f>1*4*21.5*1.042</f>
        <v>89.612000000000009</v>
      </c>
      <c r="K83" s="119" t="s">
        <v>252</v>
      </c>
    </row>
    <row r="84" spans="1:12" ht="15" customHeight="1">
      <c r="A84" s="50"/>
      <c r="B84" s="33" t="s">
        <v>240</v>
      </c>
      <c r="C84" s="38"/>
      <c r="D84" s="117"/>
      <c r="E84" s="117" t="s">
        <v>672</v>
      </c>
      <c r="F84" s="117"/>
      <c r="G84" s="117"/>
      <c r="H84" s="117"/>
      <c r="I84" s="41"/>
      <c r="J84" s="118">
        <f>1*2*20*0.667</f>
        <v>26.68</v>
      </c>
      <c r="K84" s="119" t="s">
        <v>252</v>
      </c>
    </row>
    <row r="85" spans="1:12" ht="15" customHeight="1">
      <c r="A85" s="50"/>
      <c r="B85" s="33" t="s">
        <v>218</v>
      </c>
      <c r="C85" s="38"/>
      <c r="D85" s="117"/>
      <c r="E85" s="117" t="s">
        <v>673</v>
      </c>
      <c r="F85" s="117"/>
      <c r="G85" s="117"/>
      <c r="H85" s="117"/>
      <c r="I85" s="41"/>
      <c r="J85" s="118">
        <f>1*38*9*0.375</f>
        <v>128.25</v>
      </c>
      <c r="K85" s="119" t="s">
        <v>252</v>
      </c>
    </row>
    <row r="86" spans="1:12" ht="15" customHeight="1">
      <c r="A86" s="50"/>
      <c r="B86" s="33" t="s">
        <v>250</v>
      </c>
      <c r="C86" s="38"/>
      <c r="D86" s="117"/>
      <c r="E86" s="117" t="s">
        <v>645</v>
      </c>
      <c r="F86" s="117"/>
      <c r="G86" s="117"/>
      <c r="H86" s="117"/>
      <c r="I86" s="41"/>
      <c r="J86" s="118">
        <f>1*4*24.5*1.042</f>
        <v>102.116</v>
      </c>
      <c r="K86" s="119" t="s">
        <v>252</v>
      </c>
    </row>
    <row r="87" spans="1:12" ht="15" customHeight="1">
      <c r="A87" s="50"/>
      <c r="B87" s="33" t="s">
        <v>240</v>
      </c>
      <c r="C87" s="38"/>
      <c r="D87" s="117"/>
      <c r="E87" s="117" t="s">
        <v>663</v>
      </c>
      <c r="F87" s="117"/>
      <c r="G87" s="117"/>
      <c r="H87" s="117"/>
      <c r="I87" s="41"/>
      <c r="J87" s="118">
        <f>1*2*23*0.667</f>
        <v>30.682000000000002</v>
      </c>
      <c r="K87" s="119" t="s">
        <v>252</v>
      </c>
    </row>
    <row r="88" spans="1:12" ht="15" customHeight="1">
      <c r="A88" s="50"/>
      <c r="B88" s="33" t="s">
        <v>218</v>
      </c>
      <c r="C88" s="38"/>
      <c r="D88" s="117"/>
      <c r="E88" s="117" t="s">
        <v>673</v>
      </c>
      <c r="F88" s="117"/>
      <c r="G88" s="117"/>
      <c r="H88" s="117"/>
      <c r="I88" s="41"/>
      <c r="J88" s="118">
        <f>1*38*9*0.375</f>
        <v>128.25</v>
      </c>
      <c r="K88" s="119" t="s">
        <v>252</v>
      </c>
    </row>
    <row r="89" spans="1:12" ht="15" customHeight="1">
      <c r="A89" s="50"/>
      <c r="B89" s="8" t="s">
        <v>655</v>
      </c>
      <c r="C89" s="38"/>
      <c r="D89" s="117"/>
      <c r="E89" s="117" t="s">
        <v>674</v>
      </c>
      <c r="F89" s="117"/>
      <c r="G89" s="117"/>
      <c r="H89" s="117"/>
      <c r="I89" s="41"/>
      <c r="J89" s="118">
        <f>2*36*16.25*0.667</f>
        <v>780.3900000000001</v>
      </c>
      <c r="K89" s="119" t="s">
        <v>252</v>
      </c>
    </row>
    <row r="90" spans="1:12" ht="15" customHeight="1">
      <c r="A90" s="50"/>
      <c r="B90" s="8" t="s">
        <v>251</v>
      </c>
      <c r="C90" s="38"/>
      <c r="D90" s="117"/>
      <c r="E90" s="117" t="s">
        <v>675</v>
      </c>
      <c r="F90" s="117"/>
      <c r="G90" s="117"/>
      <c r="H90" s="117"/>
      <c r="I90" s="41"/>
      <c r="J90" s="118">
        <f>2*19*21*0.667</f>
        <v>532.26600000000008</v>
      </c>
      <c r="K90" s="119" t="s">
        <v>252</v>
      </c>
    </row>
    <row r="91" spans="1:12" ht="15" customHeight="1">
      <c r="A91" s="50"/>
      <c r="B91" s="8" t="s">
        <v>656</v>
      </c>
      <c r="C91" s="38"/>
      <c r="D91" s="117"/>
      <c r="E91" s="124" t="s">
        <v>676</v>
      </c>
      <c r="F91" s="117"/>
      <c r="G91" s="117"/>
      <c r="H91" s="117"/>
      <c r="I91" s="41"/>
      <c r="J91" s="118">
        <f>2*4*15*0.375</f>
        <v>45</v>
      </c>
      <c r="K91" s="119" t="s">
        <v>252</v>
      </c>
    </row>
    <row r="92" spans="1:12" ht="15" customHeight="1">
      <c r="A92" s="50"/>
      <c r="B92" s="8" t="s">
        <v>657</v>
      </c>
      <c r="C92" s="38"/>
      <c r="D92" s="117"/>
      <c r="E92" s="8" t="s">
        <v>677</v>
      </c>
      <c r="F92" s="117"/>
      <c r="G92" s="117"/>
      <c r="H92" s="117"/>
      <c r="I92" s="41"/>
      <c r="J92" s="118">
        <f>2*5*10*0.375</f>
        <v>37.5</v>
      </c>
      <c r="K92" s="119" t="s">
        <v>252</v>
      </c>
    </row>
    <row r="93" spans="1:12" ht="15" customHeight="1">
      <c r="A93" s="50"/>
      <c r="B93" s="8" t="s">
        <v>379</v>
      </c>
      <c r="C93" s="38"/>
      <c r="D93" s="117"/>
      <c r="E93" s="117" t="s">
        <v>678</v>
      </c>
      <c r="F93" s="117"/>
      <c r="G93" s="117"/>
      <c r="H93" s="117"/>
      <c r="I93" s="41"/>
      <c r="J93" s="118">
        <f>2*20*2.5*0.375</f>
        <v>37.5</v>
      </c>
      <c r="K93" s="119" t="s">
        <v>252</v>
      </c>
    </row>
    <row r="94" spans="1:12" ht="15" customHeight="1">
      <c r="A94" s="50"/>
      <c r="B94" s="8" t="s">
        <v>655</v>
      </c>
      <c r="C94" s="38"/>
      <c r="D94" s="117"/>
      <c r="E94" s="117" t="s">
        <v>679</v>
      </c>
      <c r="F94" s="117"/>
      <c r="G94" s="117"/>
      <c r="H94" s="117"/>
      <c r="I94" s="41"/>
      <c r="J94" s="118">
        <f>2*38*17.25*0.667</f>
        <v>874.43700000000001</v>
      </c>
      <c r="K94" s="119" t="s">
        <v>252</v>
      </c>
    </row>
    <row r="95" spans="1:12" ht="15" customHeight="1">
      <c r="A95" s="50"/>
      <c r="B95" s="8" t="s">
        <v>251</v>
      </c>
      <c r="C95" s="38"/>
      <c r="D95" s="117"/>
      <c r="E95" s="117" t="s">
        <v>680</v>
      </c>
      <c r="F95" s="117"/>
      <c r="G95" s="117"/>
      <c r="H95" s="117"/>
      <c r="I95" s="41"/>
      <c r="J95" s="118">
        <f>2*21*22*0.667</f>
        <v>616.30799999999999</v>
      </c>
      <c r="K95" s="119" t="s">
        <v>252</v>
      </c>
    </row>
    <row r="96" spans="1:12" ht="15" customHeight="1">
      <c r="A96" s="50"/>
      <c r="B96" s="8" t="s">
        <v>656</v>
      </c>
      <c r="C96" s="38"/>
      <c r="D96" s="117"/>
      <c r="E96" s="117" t="s">
        <v>676</v>
      </c>
      <c r="F96" s="117"/>
      <c r="G96" s="117"/>
      <c r="H96" s="117"/>
      <c r="I96" s="41"/>
      <c r="J96" s="118">
        <f>2*4*15*0.375</f>
        <v>45</v>
      </c>
      <c r="K96" s="119" t="s">
        <v>252</v>
      </c>
    </row>
    <row r="97" spans="1:11" ht="15" customHeight="1">
      <c r="A97" s="50"/>
      <c r="B97" s="8" t="s">
        <v>657</v>
      </c>
      <c r="C97" s="38"/>
      <c r="D97" s="117"/>
      <c r="E97" s="117" t="s">
        <v>681</v>
      </c>
      <c r="F97" s="117"/>
      <c r="G97" s="117"/>
      <c r="H97" s="117"/>
      <c r="I97" s="41"/>
      <c r="J97" s="118">
        <f>2*5*11*0.375</f>
        <v>41.25</v>
      </c>
      <c r="K97" s="119" t="s">
        <v>252</v>
      </c>
    </row>
    <row r="98" spans="1:11" ht="15" customHeight="1">
      <c r="A98" s="50"/>
      <c r="B98" s="8" t="s">
        <v>379</v>
      </c>
      <c r="C98" s="38"/>
      <c r="D98" s="117"/>
      <c r="E98" s="117" t="s">
        <v>682</v>
      </c>
      <c r="F98" s="117"/>
      <c r="G98" s="117"/>
      <c r="H98" s="117"/>
      <c r="I98" s="41"/>
      <c r="J98" s="118">
        <f>2*22*2.5*0.375</f>
        <v>41.25</v>
      </c>
      <c r="K98" s="119" t="s">
        <v>252</v>
      </c>
    </row>
    <row r="99" spans="1:11" ht="15" customHeight="1">
      <c r="A99" s="50"/>
      <c r="B99" s="33" t="s">
        <v>658</v>
      </c>
      <c r="C99" s="38"/>
      <c r="D99" s="117"/>
      <c r="E99" s="117" t="s">
        <v>234</v>
      </c>
      <c r="F99" s="117"/>
      <c r="G99" s="117"/>
      <c r="H99" s="117"/>
      <c r="I99" s="41"/>
      <c r="J99" s="118">
        <f>1*38*17.5*0.667</f>
        <v>443.55500000000001</v>
      </c>
      <c r="K99" s="119" t="s">
        <v>252</v>
      </c>
    </row>
    <row r="100" spans="1:11" ht="15" customHeight="1">
      <c r="A100" s="50"/>
      <c r="B100" s="33" t="s">
        <v>251</v>
      </c>
      <c r="C100" s="38"/>
      <c r="D100" s="117"/>
      <c r="E100" s="117" t="s">
        <v>683</v>
      </c>
      <c r="F100" s="117"/>
      <c r="G100" s="117"/>
      <c r="H100" s="117"/>
      <c r="I100" s="41"/>
      <c r="J100" s="118">
        <f>1*33*19.5*0.667</f>
        <v>429.21450000000004</v>
      </c>
      <c r="K100" s="119" t="s">
        <v>252</v>
      </c>
    </row>
    <row r="101" spans="1:11" ht="15" customHeight="1">
      <c r="A101" s="50"/>
      <c r="B101" s="33" t="s">
        <v>659</v>
      </c>
      <c r="C101" s="38"/>
      <c r="D101" s="117"/>
      <c r="E101" s="117" t="s">
        <v>684</v>
      </c>
      <c r="F101" s="117"/>
      <c r="G101" s="117"/>
      <c r="H101" s="117"/>
      <c r="I101" s="41"/>
      <c r="J101" s="118">
        <f>1*33*10*0.667</f>
        <v>220.11</v>
      </c>
      <c r="K101" s="119" t="s">
        <v>252</v>
      </c>
    </row>
    <row r="102" spans="1:11" ht="15" customHeight="1">
      <c r="A102" s="50"/>
      <c r="B102" s="33" t="s">
        <v>660</v>
      </c>
      <c r="C102" s="38"/>
      <c r="D102" s="117"/>
      <c r="E102" s="117" t="s">
        <v>685</v>
      </c>
      <c r="F102" s="117"/>
      <c r="G102" s="117"/>
      <c r="H102" s="117"/>
      <c r="I102" s="41"/>
      <c r="J102" s="118">
        <f>1*13*14*0.667</f>
        <v>121.39400000000001</v>
      </c>
      <c r="K102" s="119" t="s">
        <v>252</v>
      </c>
    </row>
    <row r="103" spans="1:11" ht="15" customHeight="1">
      <c r="A103" s="50"/>
      <c r="B103" s="33" t="s">
        <v>661</v>
      </c>
      <c r="C103" s="38"/>
      <c r="D103" s="117"/>
      <c r="E103" s="117" t="s">
        <v>235</v>
      </c>
      <c r="F103" s="117"/>
      <c r="G103" s="117"/>
      <c r="H103" s="117"/>
      <c r="I103" s="41"/>
      <c r="J103" s="120">
        <f>1*10*2.5*0.375</f>
        <v>9.375</v>
      </c>
      <c r="K103" s="119" t="s">
        <v>252</v>
      </c>
    </row>
    <row r="104" spans="1:11" ht="15" customHeight="1">
      <c r="A104" s="50"/>
      <c r="B104" s="8" t="s">
        <v>662</v>
      </c>
      <c r="C104" s="38"/>
      <c r="D104" s="117"/>
      <c r="E104" s="117" t="s">
        <v>686</v>
      </c>
      <c r="F104" s="117"/>
      <c r="G104" s="117"/>
      <c r="H104" s="117"/>
      <c r="I104" s="41"/>
      <c r="J104" s="118">
        <f>2*17*12.5*0.667</f>
        <v>283.47500000000002</v>
      </c>
      <c r="K104" s="119" t="s">
        <v>252</v>
      </c>
    </row>
    <row r="105" spans="1:11" ht="15" customHeight="1">
      <c r="A105" s="50"/>
      <c r="B105" s="8" t="s">
        <v>251</v>
      </c>
      <c r="C105" s="38"/>
      <c r="D105" s="117"/>
      <c r="E105" s="117" t="s">
        <v>687</v>
      </c>
      <c r="F105" s="117"/>
      <c r="G105" s="117"/>
      <c r="H105" s="117"/>
      <c r="I105" s="41"/>
      <c r="J105" s="118">
        <f>2*12*16.25*0.375</f>
        <v>146.25</v>
      </c>
      <c r="K105" s="119" t="s">
        <v>252</v>
      </c>
    </row>
    <row r="106" spans="1:11" ht="15" customHeight="1">
      <c r="A106" s="50"/>
      <c r="B106" s="8" t="s">
        <v>656</v>
      </c>
      <c r="C106" s="38"/>
      <c r="D106" s="117"/>
      <c r="E106" s="117" t="s">
        <v>688</v>
      </c>
      <c r="F106" s="117"/>
      <c r="G106" s="117"/>
      <c r="H106" s="117"/>
      <c r="I106" s="41"/>
      <c r="J106" s="118">
        <f>2*3*11*0.375</f>
        <v>24.75</v>
      </c>
      <c r="K106" s="119" t="s">
        <v>252</v>
      </c>
    </row>
    <row r="107" spans="1:11" ht="15" customHeight="1">
      <c r="A107" s="50"/>
      <c r="B107" s="8" t="s">
        <v>657</v>
      </c>
      <c r="C107" s="38"/>
      <c r="D107" s="117"/>
      <c r="E107" s="117" t="s">
        <v>689</v>
      </c>
      <c r="F107" s="117"/>
      <c r="G107" s="117"/>
      <c r="H107" s="117"/>
      <c r="I107" s="41"/>
      <c r="J107" s="118">
        <f>2*4*6*0.375</f>
        <v>18</v>
      </c>
      <c r="K107" s="119" t="s">
        <v>252</v>
      </c>
    </row>
    <row r="108" spans="1:11" ht="15" customHeight="1">
      <c r="A108" s="50"/>
      <c r="B108" s="8" t="s">
        <v>379</v>
      </c>
      <c r="C108" s="38"/>
      <c r="D108" s="117"/>
      <c r="E108" s="117" t="s">
        <v>233</v>
      </c>
      <c r="F108" s="117"/>
      <c r="G108" s="117"/>
      <c r="H108" s="117"/>
      <c r="I108" s="41"/>
      <c r="J108" s="118">
        <f>2*10*2.5*0.375</f>
        <v>18.75</v>
      </c>
      <c r="K108" s="119" t="s">
        <v>252</v>
      </c>
    </row>
    <row r="109" spans="1:11" ht="15" customHeight="1">
      <c r="A109" s="50"/>
      <c r="B109" s="8" t="s">
        <v>662</v>
      </c>
      <c r="C109" s="38"/>
      <c r="D109" s="117"/>
      <c r="E109" s="117" t="s">
        <v>690</v>
      </c>
      <c r="F109" s="117"/>
      <c r="G109" s="117"/>
      <c r="H109" s="117"/>
      <c r="I109" s="41"/>
      <c r="J109" s="118">
        <f>1*16*9.5*0.667</f>
        <v>101.384</v>
      </c>
      <c r="K109" s="119" t="s">
        <v>252</v>
      </c>
    </row>
    <row r="110" spans="1:11" ht="15" customHeight="1">
      <c r="A110" s="50"/>
      <c r="B110" s="8" t="s">
        <v>251</v>
      </c>
      <c r="C110" s="38"/>
      <c r="D110" s="117"/>
      <c r="E110" s="117" t="s">
        <v>691</v>
      </c>
      <c r="F110" s="117"/>
      <c r="G110" s="117"/>
      <c r="H110" s="117"/>
      <c r="I110" s="41"/>
      <c r="J110" s="118">
        <f>1*9*14*0.375</f>
        <v>47.25</v>
      </c>
      <c r="K110" s="119" t="s">
        <v>252</v>
      </c>
    </row>
    <row r="111" spans="1:11" ht="15" customHeight="1">
      <c r="A111" s="50"/>
      <c r="B111" s="8" t="s">
        <v>656</v>
      </c>
      <c r="C111" s="38"/>
      <c r="D111" s="117"/>
      <c r="E111" s="117" t="s">
        <v>692</v>
      </c>
      <c r="F111" s="117"/>
      <c r="G111" s="117"/>
      <c r="H111" s="117"/>
      <c r="I111" s="41"/>
      <c r="J111" s="118">
        <f>1*3*14*0.375</f>
        <v>15.75</v>
      </c>
      <c r="K111" s="119" t="s">
        <v>252</v>
      </c>
    </row>
    <row r="112" spans="1:11" ht="15" customHeight="1">
      <c r="A112" s="50"/>
      <c r="B112" s="8" t="s">
        <v>379</v>
      </c>
      <c r="C112" s="38"/>
      <c r="D112" s="117"/>
      <c r="E112" s="117" t="s">
        <v>693</v>
      </c>
      <c r="F112" s="117"/>
      <c r="G112" s="117"/>
      <c r="H112" s="117"/>
      <c r="I112" s="41"/>
      <c r="J112" s="118">
        <f>1*12*2.5*0.375</f>
        <v>11.25</v>
      </c>
      <c r="K112" s="119" t="s">
        <v>252</v>
      </c>
    </row>
    <row r="113" spans="1:11" ht="15" customHeight="1">
      <c r="A113" s="50"/>
      <c r="B113" s="33"/>
      <c r="C113" s="38"/>
      <c r="D113" s="117"/>
      <c r="E113" s="117"/>
      <c r="F113" s="117"/>
      <c r="G113" s="117"/>
      <c r="H113" s="117"/>
      <c r="I113" s="41"/>
      <c r="J113" s="120">
        <f>SUM(J54:J112)</f>
        <v>12268.7845</v>
      </c>
      <c r="K113" s="121" t="s">
        <v>252</v>
      </c>
    </row>
    <row r="114" spans="1:11" ht="15" customHeight="1">
      <c r="A114" s="50"/>
      <c r="B114" s="33"/>
      <c r="C114" s="38"/>
      <c r="D114" s="117"/>
      <c r="E114" s="117"/>
      <c r="F114" s="117"/>
      <c r="G114" s="117"/>
      <c r="H114" s="117"/>
      <c r="I114" s="41"/>
      <c r="J114" s="118"/>
      <c r="K114" s="119"/>
    </row>
    <row r="115" spans="1:11" ht="15" customHeight="1">
      <c r="A115" s="50"/>
      <c r="B115" s="33"/>
      <c r="C115" s="38"/>
      <c r="D115" s="117"/>
      <c r="E115" s="117" t="s">
        <v>694</v>
      </c>
      <c r="F115" s="117"/>
      <c r="G115" s="117"/>
      <c r="H115" s="117"/>
      <c r="I115" s="41"/>
      <c r="J115" s="118">
        <f>12268.78/112</f>
        <v>109.54267857142858</v>
      </c>
      <c r="K115" s="119" t="s">
        <v>253</v>
      </c>
    </row>
    <row r="116" spans="1:11" ht="15" customHeight="1">
      <c r="A116" s="8"/>
      <c r="I116" s="8"/>
      <c r="J116" s="8"/>
      <c r="K116" s="8"/>
    </row>
    <row r="117" spans="1:11" ht="15" customHeight="1">
      <c r="A117" s="8"/>
      <c r="I117" s="8"/>
      <c r="J117" s="8"/>
      <c r="K117" s="8"/>
    </row>
    <row r="118" spans="1:11" ht="15" customHeight="1">
      <c r="A118" s="8"/>
      <c r="I118" s="8"/>
      <c r="J118" s="8"/>
      <c r="K118" s="8"/>
    </row>
    <row r="119" spans="1:11" ht="15" customHeight="1">
      <c r="A119" s="8"/>
      <c r="I119" s="8"/>
      <c r="J119" s="8"/>
      <c r="K119" s="8"/>
    </row>
    <row r="120" spans="1:11" ht="15" customHeight="1">
      <c r="A120" s="8"/>
      <c r="I120" s="8"/>
      <c r="J120" s="8"/>
      <c r="K120" s="8"/>
    </row>
    <row r="121" spans="1:11" ht="15" customHeight="1">
      <c r="A121" s="8"/>
      <c r="I121" s="8"/>
      <c r="J121" s="8"/>
      <c r="K121" s="8"/>
    </row>
    <row r="122" spans="1:11" ht="15" customHeight="1">
      <c r="A122" s="8"/>
      <c r="I122" s="8"/>
      <c r="J122" s="8"/>
      <c r="K122" s="8"/>
    </row>
    <row r="123" spans="1:11" ht="15" customHeight="1">
      <c r="A123" s="8"/>
      <c r="I123" s="8"/>
      <c r="J123" s="8"/>
      <c r="K123" s="8"/>
    </row>
    <row r="124" spans="1:11" ht="15" customHeight="1">
      <c r="A124" s="8"/>
      <c r="I124" s="8"/>
      <c r="J124" s="8"/>
      <c r="K124" s="8"/>
    </row>
    <row r="125" spans="1:11" ht="15" customHeight="1">
      <c r="A125" s="8"/>
      <c r="I125" s="8"/>
      <c r="J125" s="8"/>
      <c r="K125" s="8"/>
    </row>
    <row r="126" spans="1:11" ht="15" customHeight="1">
      <c r="A126" s="8"/>
      <c r="I126" s="8"/>
      <c r="J126" s="8"/>
      <c r="K126" s="8"/>
    </row>
    <row r="127" spans="1:11" ht="15" customHeight="1">
      <c r="A127" s="8"/>
      <c r="I127" s="8"/>
      <c r="J127" s="8"/>
      <c r="K127" s="8"/>
    </row>
    <row r="128" spans="1:11" ht="15" customHeight="1">
      <c r="A128" s="8"/>
      <c r="I128" s="8"/>
      <c r="J128" s="8"/>
      <c r="K128" s="8"/>
    </row>
    <row r="129" spans="1:11" ht="15" customHeight="1">
      <c r="A129" s="8"/>
      <c r="I129" s="8"/>
      <c r="J129" s="8"/>
      <c r="K129" s="8"/>
    </row>
    <row r="130" spans="1:11" ht="15" customHeight="1">
      <c r="A130" s="8"/>
      <c r="I130" s="8"/>
      <c r="J130" s="8"/>
      <c r="K130" s="8"/>
    </row>
    <row r="131" spans="1:11" ht="15" customHeight="1">
      <c r="A131" s="8"/>
      <c r="I131" s="8"/>
      <c r="J131" s="8"/>
      <c r="K131" s="8"/>
    </row>
    <row r="132" spans="1:11" ht="15" customHeight="1">
      <c r="A132" s="8"/>
      <c r="I132" s="8"/>
      <c r="J132" s="8"/>
      <c r="K132" s="8"/>
    </row>
    <row r="133" spans="1:11" ht="15" customHeight="1">
      <c r="A133" s="8"/>
      <c r="I133" s="8"/>
      <c r="J133" s="8"/>
      <c r="K133" s="8"/>
    </row>
    <row r="134" spans="1:11" ht="15" customHeight="1">
      <c r="A134" s="8"/>
      <c r="I134" s="8"/>
      <c r="J134" s="8"/>
      <c r="K134" s="8"/>
    </row>
    <row r="135" spans="1:11" ht="15" customHeight="1">
      <c r="A135" s="8"/>
      <c r="I135" s="8"/>
      <c r="J135" s="8"/>
      <c r="K135" s="8"/>
    </row>
    <row r="136" spans="1:11" ht="15" customHeight="1">
      <c r="A136" s="50"/>
      <c r="B136" s="33"/>
      <c r="C136" s="38"/>
      <c r="D136" s="117"/>
      <c r="E136" s="117"/>
      <c r="F136" s="117"/>
      <c r="G136" s="117"/>
      <c r="H136" s="117"/>
      <c r="I136" s="41"/>
      <c r="J136" s="118"/>
      <c r="K136" s="119"/>
    </row>
    <row r="137" spans="1:11" ht="15" customHeight="1">
      <c r="A137" s="50"/>
      <c r="B137" s="33"/>
      <c r="C137" s="38"/>
      <c r="D137" s="117"/>
      <c r="E137" s="117"/>
      <c r="F137" s="117"/>
      <c r="G137" s="117"/>
      <c r="H137" s="117"/>
      <c r="I137" s="41"/>
      <c r="J137" s="118"/>
      <c r="K137" s="119"/>
    </row>
    <row r="138" spans="1:11" ht="15" customHeight="1">
      <c r="A138" s="50"/>
      <c r="B138" s="33"/>
      <c r="C138" s="38"/>
      <c r="D138" s="117"/>
      <c r="E138" s="117"/>
      <c r="F138" s="117"/>
      <c r="G138" s="117"/>
      <c r="H138" s="117"/>
      <c r="I138" s="41"/>
      <c r="J138" s="118"/>
      <c r="K138" s="119"/>
    </row>
    <row r="139" spans="1:11" ht="15" customHeight="1">
      <c r="A139" s="50"/>
      <c r="B139" s="33"/>
      <c r="C139" s="38"/>
      <c r="D139" s="117"/>
      <c r="E139" s="117"/>
      <c r="F139" s="117"/>
      <c r="G139" s="117"/>
      <c r="H139" s="117"/>
      <c r="I139" s="41"/>
      <c r="J139" s="118"/>
      <c r="K139" s="119"/>
    </row>
    <row r="140" spans="1:11" ht="15" customHeight="1">
      <c r="A140" s="50"/>
      <c r="B140" s="33"/>
      <c r="C140" s="38"/>
      <c r="D140" s="117"/>
      <c r="E140" s="117"/>
      <c r="F140" s="117"/>
      <c r="G140" s="117"/>
      <c r="H140" s="117"/>
      <c r="I140" s="41"/>
      <c r="J140" s="118"/>
      <c r="K140" s="119"/>
    </row>
    <row r="141" spans="1:11" ht="15" customHeight="1">
      <c r="A141" s="50"/>
      <c r="B141" s="33"/>
      <c r="C141" s="38"/>
      <c r="D141" s="117"/>
      <c r="E141" s="117"/>
      <c r="F141" s="117"/>
      <c r="G141" s="117"/>
      <c r="H141" s="117"/>
      <c r="I141" s="41"/>
      <c r="J141" s="118"/>
      <c r="K141" s="119"/>
    </row>
    <row r="142" spans="1:11" ht="15" customHeight="1">
      <c r="A142" s="50"/>
      <c r="B142" s="33"/>
      <c r="C142" s="38"/>
      <c r="D142" s="117"/>
      <c r="E142" s="117"/>
      <c r="F142" s="117"/>
      <c r="G142" s="117"/>
      <c r="H142" s="117"/>
      <c r="I142" s="41"/>
      <c r="J142" s="118"/>
      <c r="K142" s="119"/>
    </row>
    <row r="143" spans="1:11" ht="15" customHeight="1">
      <c r="A143" s="50"/>
      <c r="B143" s="33"/>
      <c r="C143" s="38"/>
      <c r="D143" s="117"/>
      <c r="E143" s="117"/>
      <c r="F143" s="117"/>
      <c r="G143" s="117"/>
      <c r="H143" s="117"/>
      <c r="I143" s="41"/>
      <c r="J143" s="118"/>
      <c r="K143" s="119"/>
    </row>
    <row r="144" spans="1:11" ht="15" customHeight="1">
      <c r="A144" s="7"/>
      <c r="B144" s="33"/>
      <c r="C144" s="1"/>
    </row>
    <row r="145" spans="1:11" ht="15" customHeight="1">
      <c r="A145" s="7"/>
    </row>
    <row r="146" spans="1:11" ht="15" customHeight="1"/>
    <row r="147" spans="1:11" ht="15" customHeight="1"/>
    <row r="148" spans="1:11" ht="15" customHeight="1"/>
    <row r="149" spans="1:11" ht="15" customHeight="1">
      <c r="B149" s="6" t="s">
        <v>2</v>
      </c>
      <c r="E149" s="30"/>
      <c r="F149" s="31"/>
      <c r="G149" s="7"/>
      <c r="H149" s="6"/>
      <c r="I149" s="7" t="s">
        <v>0</v>
      </c>
      <c r="J149" s="7"/>
      <c r="K149" s="31"/>
    </row>
    <row r="150" spans="1:11" ht="15" customHeight="1">
      <c r="A150" s="8"/>
      <c r="D150" s="7"/>
      <c r="G150" s="7"/>
      <c r="H150" s="6"/>
      <c r="I150" s="2" t="s">
        <v>66</v>
      </c>
      <c r="J150" s="7"/>
      <c r="K150" s="8"/>
    </row>
    <row r="151" spans="1:11" ht="15" customHeight="1">
      <c r="D151" s="7"/>
      <c r="E151" s="7"/>
      <c r="F151" s="7"/>
      <c r="G151" s="7"/>
      <c r="H151" s="6"/>
      <c r="I151" s="5" t="s">
        <v>1</v>
      </c>
      <c r="J151" s="7"/>
      <c r="K151" s="7"/>
    </row>
    <row r="152" spans="1:11" ht="15" customHeight="1">
      <c r="C152" s="7"/>
      <c r="D152" s="7"/>
      <c r="E152" s="7"/>
      <c r="F152" s="7"/>
      <c r="I152" s="8"/>
      <c r="J152" s="8"/>
      <c r="K152" s="7"/>
    </row>
    <row r="153" spans="1:11" ht="15" customHeight="1">
      <c r="E153" s="7"/>
      <c r="F153" s="7"/>
      <c r="I153" s="8"/>
      <c r="J153" s="8"/>
      <c r="K153" s="7"/>
    </row>
    <row r="154" spans="1:11" ht="15" customHeight="1"/>
  </sheetData>
  <mergeCells count="5">
    <mergeCell ref="A1:B1"/>
    <mergeCell ref="C1:K3"/>
    <mergeCell ref="B6:D6"/>
    <mergeCell ref="E6:H6"/>
    <mergeCell ref="J6:K6"/>
  </mergeCells>
  <pageMargins left="0.75" right="0.25" top="0.75" bottom="0.25" header="0.5" footer="0.3"/>
  <pageSetup paperSize="9" orientation="portrait" r:id="rId1"/>
  <headerFooter differentOddEven="1" alignWithMargins="0">
    <oddHeader>&amp;C(3)&amp;RPage &amp;P of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Face sheet</vt:lpstr>
      <vt:lpstr>G.Abs</vt:lpstr>
      <vt:lpstr>(Abs)</vt:lpstr>
      <vt:lpstr>Mes</vt:lpstr>
      <vt:lpstr>Bar Bending Schedule</vt:lpstr>
      <vt:lpstr>Sheet1</vt:lpstr>
      <vt:lpstr>'(Abs)'!Print_Area</vt:lpstr>
      <vt:lpstr>'Bar Bending Schedule'!Print_Area</vt:lpstr>
      <vt:lpstr>Mes!Print_Area</vt:lpstr>
      <vt:lpstr>'(Abs)'!Print_Titles</vt:lpstr>
      <vt:lpstr>'Bar Bending Schedule'!Print_Titles</vt:lpstr>
      <vt:lpstr>Mes!Print_Titles</vt:lpstr>
    </vt:vector>
  </TitlesOfParts>
  <Company>Megatech Communications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M.H.Kabeer</dc:creator>
  <cp:lastModifiedBy>Abdul Qudoos</cp:lastModifiedBy>
  <cp:lastPrinted>2017-02-16T11:31:09Z</cp:lastPrinted>
  <dcterms:created xsi:type="dcterms:W3CDTF">2004-01-20T03:33:34Z</dcterms:created>
  <dcterms:modified xsi:type="dcterms:W3CDTF">2017-02-24T11:03:11Z</dcterms:modified>
</cp:coreProperties>
</file>