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180" windowWidth="8730" windowHeight="4200" tabRatio="650" activeTab="2"/>
  </bookViews>
  <sheets>
    <sheet name="Face sheet" sheetId="58" r:id="rId1"/>
    <sheet name="G.Abs" sheetId="59" r:id="rId2"/>
    <sheet name="(Abs)" sheetId="55" r:id="rId3"/>
    <sheet name="Mes" sheetId="56" r:id="rId4"/>
    <sheet name="Bar Bending Schedule" sheetId="61" r:id="rId5"/>
    <sheet name="Sheet1" sheetId="60" r:id="rId6"/>
  </sheets>
  <definedNames>
    <definedName name="_xlnm.Print_Area" localSheetId="2">'(Abs)'!$A$1:$K$232</definedName>
    <definedName name="_xlnm.Print_Area" localSheetId="4">'Bar Bending Schedule'!$A$1:$K$205</definedName>
    <definedName name="_xlnm.Print_Area" localSheetId="3">Mes!$A$1:$K$395</definedName>
    <definedName name="_xlnm.Print_Titles" localSheetId="2">'(Abs)'!$6:$6</definedName>
    <definedName name="_xlnm.Print_Titles" localSheetId="4">'Bar Bending Schedule'!$6:$6</definedName>
    <definedName name="_xlnm.Print_Titles" localSheetId="3">Mes!$6:$6</definedName>
    <definedName name="Z_5096C17F_4B72_4439_B201_B103E6167857_.wvu.PrintTitles" localSheetId="2" hidden="1">'(Abs)'!$6:$6</definedName>
  </definedNames>
  <calcPr calcId="144525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34" i="55" l="1"/>
  <c r="J134" i="55" s="1"/>
  <c r="J69" i="61" l="1"/>
  <c r="J99" i="56" s="1"/>
  <c r="D48" i="55" s="1"/>
  <c r="J189" i="61"/>
  <c r="J141" i="56" s="1"/>
  <c r="D85" i="55" s="1"/>
  <c r="J186" i="61"/>
  <c r="J185" i="61"/>
  <c r="J184" i="61"/>
  <c r="J183" i="61"/>
  <c r="J182" i="61"/>
  <c r="J181" i="61"/>
  <c r="J180" i="61"/>
  <c r="J179" i="61"/>
  <c r="J178" i="61"/>
  <c r="J177" i="61"/>
  <c r="J176" i="61"/>
  <c r="J175" i="61"/>
  <c r="J174" i="61"/>
  <c r="J173" i="61"/>
  <c r="J172" i="61"/>
  <c r="J171" i="61"/>
  <c r="J170" i="61"/>
  <c r="J169" i="61"/>
  <c r="J168" i="61"/>
  <c r="J167" i="61"/>
  <c r="J166" i="61"/>
  <c r="J165" i="61"/>
  <c r="J164" i="61"/>
  <c r="J163" i="61"/>
  <c r="J162" i="61"/>
  <c r="J161" i="61"/>
  <c r="J160" i="61"/>
  <c r="J159" i="61"/>
  <c r="J158" i="61"/>
  <c r="J157" i="61"/>
  <c r="J156" i="61"/>
  <c r="J155" i="61"/>
  <c r="J154" i="61"/>
  <c r="J153" i="61"/>
  <c r="J152" i="61"/>
  <c r="J151" i="61"/>
  <c r="J150" i="61"/>
  <c r="J149" i="61"/>
  <c r="J148" i="61"/>
  <c r="J147" i="61"/>
  <c r="J146" i="61"/>
  <c r="J145" i="61"/>
  <c r="J144" i="61"/>
  <c r="J143" i="61"/>
  <c r="J142" i="61"/>
  <c r="J141" i="61"/>
  <c r="J140" i="61"/>
  <c r="J139" i="61"/>
  <c r="J138" i="61"/>
  <c r="J137" i="61"/>
  <c r="J136" i="61"/>
  <c r="J135" i="61"/>
  <c r="J134" i="61"/>
  <c r="J133" i="61"/>
  <c r="J132" i="61"/>
  <c r="J131" i="61"/>
  <c r="J130" i="61"/>
  <c r="J129" i="61"/>
  <c r="J128" i="61"/>
  <c r="J127" i="61"/>
  <c r="J126" i="61"/>
  <c r="J125" i="61"/>
  <c r="J124" i="61"/>
  <c r="J123" i="61"/>
  <c r="J122" i="61"/>
  <c r="J121" i="61"/>
  <c r="J120" i="61"/>
  <c r="J119" i="61"/>
  <c r="J118" i="61"/>
  <c r="J117" i="61"/>
  <c r="J116" i="61"/>
  <c r="J115" i="61"/>
  <c r="J114" i="61"/>
  <c r="J113" i="61"/>
  <c r="J112" i="61"/>
  <c r="J111" i="61"/>
  <c r="J110" i="61"/>
  <c r="J109" i="61"/>
  <c r="J108" i="61"/>
  <c r="J107" i="61"/>
  <c r="J106" i="61"/>
  <c r="J105" i="61"/>
  <c r="J104" i="61"/>
  <c r="J103" i="61"/>
  <c r="J102" i="61"/>
  <c r="J101" i="61"/>
  <c r="J100" i="61"/>
  <c r="J99" i="61"/>
  <c r="J98" i="61"/>
  <c r="J97" i="61"/>
  <c r="J96" i="61"/>
  <c r="J95" i="61"/>
  <c r="J94" i="61"/>
  <c r="J93" i="61"/>
  <c r="J92" i="61"/>
  <c r="J91" i="61"/>
  <c r="J90" i="61"/>
  <c r="J89" i="61"/>
  <c r="J88" i="61"/>
  <c r="J87" i="61"/>
  <c r="J86" i="61"/>
  <c r="J85" i="61"/>
  <c r="J84" i="61"/>
  <c r="J83" i="61"/>
  <c r="J82" i="61"/>
  <c r="J81" i="61"/>
  <c r="J80" i="61"/>
  <c r="J79" i="61"/>
  <c r="J78" i="61"/>
  <c r="J77" i="61"/>
  <c r="J76" i="61"/>
  <c r="J75" i="61"/>
  <c r="J74" i="61"/>
  <c r="J73" i="61"/>
  <c r="J72" i="61"/>
  <c r="J71" i="61"/>
  <c r="J187" i="61" s="1"/>
  <c r="J66" i="61"/>
  <c r="J65" i="61"/>
  <c r="J64" i="61"/>
  <c r="J63" i="61"/>
  <c r="J62" i="61"/>
  <c r="J61" i="61"/>
  <c r="J60" i="61"/>
  <c r="J59" i="61"/>
  <c r="J58" i="61"/>
  <c r="J57" i="61"/>
  <c r="J56" i="61"/>
  <c r="J55" i="61"/>
  <c r="J54" i="61"/>
  <c r="J53" i="61"/>
  <c r="J52" i="61"/>
  <c r="J51" i="61"/>
  <c r="J50" i="61"/>
  <c r="J49" i="61"/>
  <c r="J48" i="61"/>
  <c r="J47" i="61"/>
  <c r="J46" i="61"/>
  <c r="J45" i="61"/>
  <c r="J44" i="61"/>
  <c r="J43" i="61"/>
  <c r="J42" i="61"/>
  <c r="J41" i="61"/>
  <c r="J40" i="61"/>
  <c r="J39" i="61"/>
  <c r="J38" i="61"/>
  <c r="J37" i="61"/>
  <c r="J36" i="61"/>
  <c r="J35" i="61"/>
  <c r="J34" i="61"/>
  <c r="J33" i="61"/>
  <c r="J32" i="61"/>
  <c r="J31" i="61"/>
  <c r="J30" i="61"/>
  <c r="J29" i="61"/>
  <c r="J28" i="61"/>
  <c r="J27" i="61"/>
  <c r="J26" i="61"/>
  <c r="J25" i="61"/>
  <c r="J24" i="61"/>
  <c r="J23" i="61"/>
  <c r="J22" i="61"/>
  <c r="J21" i="61"/>
  <c r="J20" i="61"/>
  <c r="J19" i="61"/>
  <c r="J18" i="61"/>
  <c r="J17" i="61"/>
  <c r="J16" i="61"/>
  <c r="J15" i="61"/>
  <c r="J14" i="61"/>
  <c r="J13" i="61"/>
  <c r="J12" i="61"/>
  <c r="J11" i="61"/>
  <c r="J10" i="61"/>
  <c r="J9" i="61"/>
  <c r="J67" i="61" s="1"/>
  <c r="J383" i="56" l="1"/>
  <c r="J382" i="56"/>
  <c r="J381" i="56"/>
  <c r="J380" i="56"/>
  <c r="J379" i="56"/>
  <c r="J378" i="56"/>
  <c r="J377" i="56"/>
  <c r="J376" i="56"/>
  <c r="J375" i="56"/>
  <c r="J374" i="56"/>
  <c r="J373" i="56"/>
  <c r="J372" i="56" l="1"/>
  <c r="J371" i="56"/>
  <c r="J370" i="56"/>
  <c r="J369" i="56"/>
  <c r="J368" i="56"/>
  <c r="J367" i="56"/>
  <c r="J384" i="56" l="1"/>
  <c r="D197" i="55" s="1"/>
  <c r="J360" i="56"/>
  <c r="J359" i="56"/>
  <c r="J361" i="56" s="1"/>
  <c r="J355" i="56"/>
  <c r="J354" i="56"/>
  <c r="J353" i="56"/>
  <c r="J352" i="56"/>
  <c r="J351" i="56"/>
  <c r="J350" i="56"/>
  <c r="J349" i="56"/>
  <c r="J348" i="56"/>
  <c r="J356" i="56" s="1"/>
  <c r="J363" i="56" s="1"/>
  <c r="D187" i="55" s="1"/>
  <c r="J344" i="56"/>
  <c r="J343" i="56"/>
  <c r="J345" i="56" s="1"/>
  <c r="J342" i="56"/>
  <c r="J336" i="56"/>
  <c r="J335" i="56"/>
  <c r="J334" i="56"/>
  <c r="J333" i="56"/>
  <c r="J320" i="56"/>
  <c r="J319" i="56"/>
  <c r="J318" i="56"/>
  <c r="J317" i="56"/>
  <c r="J316" i="56"/>
  <c r="J315" i="56"/>
  <c r="J314" i="56"/>
  <c r="J313" i="56"/>
  <c r="J312" i="56"/>
  <c r="J311" i="56"/>
  <c r="J310" i="56"/>
  <c r="J309" i="56"/>
  <c r="J305" i="56"/>
  <c r="J304" i="56"/>
  <c r="J303" i="56"/>
  <c r="J300" i="56"/>
  <c r="J297" i="56"/>
  <c r="D142" i="55" s="1"/>
  <c r="J142" i="55" s="1"/>
  <c r="J291" i="56"/>
  <c r="J290" i="56"/>
  <c r="J289" i="56"/>
  <c r="J288" i="56"/>
  <c r="J292" i="56" s="1"/>
  <c r="D139" i="55" s="1"/>
  <c r="J139" i="55" s="1"/>
  <c r="J280" i="56"/>
  <c r="J279" i="56"/>
  <c r="J278" i="56"/>
  <c r="J277" i="56"/>
  <c r="J273" i="56"/>
  <c r="J272" i="56"/>
  <c r="J271" i="56"/>
  <c r="J270" i="56"/>
  <c r="J262" i="56"/>
  <c r="J261" i="56"/>
  <c r="J260" i="56"/>
  <c r="J259" i="56"/>
  <c r="J258" i="56"/>
  <c r="J263" i="56" s="1"/>
  <c r="J254" i="56"/>
  <c r="J253" i="56"/>
  <c r="J252" i="56"/>
  <c r="J251" i="56"/>
  <c r="J250" i="56"/>
  <c r="J249" i="56"/>
  <c r="J248" i="56"/>
  <c r="J247" i="56"/>
  <c r="J246" i="56"/>
  <c r="J245" i="56"/>
  <c r="J244" i="56"/>
  <c r="J243" i="56"/>
  <c r="J242" i="56"/>
  <c r="J236" i="56"/>
  <c r="J235" i="56"/>
  <c r="J234" i="56"/>
  <c r="J233" i="56"/>
  <c r="J232" i="56"/>
  <c r="J231" i="56"/>
  <c r="J230" i="56"/>
  <c r="J229" i="56"/>
  <c r="J225" i="56"/>
  <c r="J224" i="56"/>
  <c r="J223" i="56"/>
  <c r="J222" i="56"/>
  <c r="J221" i="56"/>
  <c r="J220" i="56"/>
  <c r="J219" i="56"/>
  <c r="J218" i="56"/>
  <c r="J217" i="56"/>
  <c r="J216" i="56"/>
  <c r="J215" i="56"/>
  <c r="J208" i="56"/>
  <c r="J207" i="56"/>
  <c r="J206" i="56"/>
  <c r="J205" i="56"/>
  <c r="J204" i="56"/>
  <c r="J203" i="56"/>
  <c r="J202" i="56"/>
  <c r="J201" i="56"/>
  <c r="J200" i="56"/>
  <c r="J197" i="56"/>
  <c r="J196" i="56"/>
  <c r="J195" i="56"/>
  <c r="J194" i="56"/>
  <c r="J193" i="56"/>
  <c r="J192" i="56"/>
  <c r="J191" i="56"/>
  <c r="J190" i="56"/>
  <c r="J189" i="56"/>
  <c r="J187" i="56"/>
  <c r="J186" i="56"/>
  <c r="J185" i="56"/>
  <c r="J184" i="56"/>
  <c r="J183" i="56"/>
  <c r="J182" i="56"/>
  <c r="J181" i="56"/>
  <c r="J180" i="56"/>
  <c r="J179" i="56"/>
  <c r="J178" i="56"/>
  <c r="J177" i="56"/>
  <c r="J176" i="56"/>
  <c r="J168" i="56"/>
  <c r="J167" i="56"/>
  <c r="J166" i="56"/>
  <c r="J162" i="56"/>
  <c r="J161" i="56"/>
  <c r="J160" i="56"/>
  <c r="J159" i="56"/>
  <c r="J158" i="56"/>
  <c r="J157" i="56"/>
  <c r="J156" i="56"/>
  <c r="J155" i="56"/>
  <c r="J154" i="56"/>
  <c r="J153" i="56"/>
  <c r="J152" i="56"/>
  <c r="J151" i="56"/>
  <c r="J150" i="56"/>
  <c r="J149" i="56"/>
  <c r="J148" i="56"/>
  <c r="J147" i="56"/>
  <c r="J146" i="56"/>
  <c r="J145" i="56"/>
  <c r="J144" i="56"/>
  <c r="J137" i="56"/>
  <c r="D72" i="55" s="1"/>
  <c r="J72" i="55" s="1"/>
  <c r="J134" i="56"/>
  <c r="D69" i="55" s="1"/>
  <c r="J69" i="55" s="1"/>
  <c r="J131" i="56"/>
  <c r="D64" i="55" s="1"/>
  <c r="J64" i="55" s="1"/>
  <c r="J124" i="56"/>
  <c r="J119" i="56"/>
  <c r="J106" i="56"/>
  <c r="J117" i="56" s="1"/>
  <c r="J103" i="56"/>
  <c r="D52" i="55" s="1"/>
  <c r="J209" i="56" l="1"/>
  <c r="J237" i="56"/>
  <c r="J255" i="56"/>
  <c r="J274" i="56"/>
  <c r="D117" i="55" s="1"/>
  <c r="J117" i="55" s="1"/>
  <c r="J281" i="56"/>
  <c r="D127" i="55" s="1"/>
  <c r="J127" i="55" s="1"/>
  <c r="J307" i="56"/>
  <c r="J306" i="56"/>
  <c r="J321" i="56"/>
  <c r="J337" i="56"/>
  <c r="D169" i="55" s="1"/>
  <c r="J169" i="55" s="1"/>
  <c r="D181" i="55"/>
  <c r="J387" i="56"/>
  <c r="D203" i="55" s="1"/>
  <c r="J265" i="56"/>
  <c r="J330" i="56" s="1"/>
  <c r="D165" i="55" s="1"/>
  <c r="J165" i="55" s="1"/>
  <c r="D147" i="55"/>
  <c r="J147" i="55" s="1"/>
  <c r="D149" i="55"/>
  <c r="J149" i="55" s="1"/>
  <c r="J324" i="56"/>
  <c r="D152" i="55" s="1"/>
  <c r="J152" i="55" s="1"/>
  <c r="J163" i="56"/>
  <c r="J226" i="56"/>
  <c r="J239" i="56" s="1"/>
  <c r="J169" i="56"/>
  <c r="J171" i="56" s="1"/>
  <c r="D99" i="55" s="1"/>
  <c r="J99" i="55" s="1"/>
  <c r="J198" i="56"/>
  <c r="J211" i="56" s="1"/>
  <c r="D105" i="55" s="1"/>
  <c r="J105" i="55" s="1"/>
  <c r="J126" i="56"/>
  <c r="J93" i="56"/>
  <c r="J92" i="56"/>
  <c r="J91" i="56"/>
  <c r="J90" i="56"/>
  <c r="J89" i="56"/>
  <c r="J88" i="56"/>
  <c r="J87" i="56"/>
  <c r="J86" i="56"/>
  <c r="J85" i="56"/>
  <c r="J84" i="56"/>
  <c r="J83" i="56"/>
  <c r="J82" i="56"/>
  <c r="J81" i="56"/>
  <c r="J80" i="56"/>
  <c r="J79" i="56"/>
  <c r="J68" i="56"/>
  <c r="J77" i="56" s="1"/>
  <c r="J64" i="56"/>
  <c r="J63" i="56"/>
  <c r="J62" i="56"/>
  <c r="J61" i="56"/>
  <c r="J60" i="56"/>
  <c r="J59" i="56"/>
  <c r="J58" i="56"/>
  <c r="J57" i="56"/>
  <c r="J56" i="56"/>
  <c r="J55" i="56"/>
  <c r="J54" i="56"/>
  <c r="J53" i="56"/>
  <c r="J52" i="56"/>
  <c r="J51" i="56"/>
  <c r="J50" i="56"/>
  <c r="J49" i="56"/>
  <c r="J48" i="56"/>
  <c r="J47" i="56"/>
  <c r="J43" i="56"/>
  <c r="J42" i="56"/>
  <c r="J38" i="56"/>
  <c r="J37" i="56"/>
  <c r="J32" i="56"/>
  <c r="J29" i="56"/>
  <c r="J28" i="56"/>
  <c r="J27" i="56"/>
  <c r="J26" i="56"/>
  <c r="J25" i="56"/>
  <c r="J24" i="56"/>
  <c r="J23" i="56"/>
  <c r="J20" i="56"/>
  <c r="J34" i="56" s="1"/>
  <c r="D14" i="55" s="1"/>
  <c r="J17" i="56"/>
  <c r="J16" i="56"/>
  <c r="J15" i="56"/>
  <c r="J14" i="56"/>
  <c r="J13" i="56"/>
  <c r="J12" i="56"/>
  <c r="J11" i="56"/>
  <c r="J267" i="56" l="1"/>
  <c r="D108" i="55" s="1"/>
  <c r="J108" i="55" s="1"/>
  <c r="J327" i="56"/>
  <c r="D158" i="55" s="1"/>
  <c r="J158" i="55" s="1"/>
  <c r="J171" i="55" s="1"/>
  <c r="H18" i="59"/>
  <c r="J44" i="56"/>
  <c r="D21" i="55" s="1"/>
  <c r="J21" i="55" s="1"/>
  <c r="J65" i="56"/>
  <c r="D27" i="55" s="1"/>
  <c r="J27" i="55" s="1"/>
  <c r="J94" i="56"/>
  <c r="J96" i="56" s="1"/>
  <c r="D41" i="55" s="1"/>
  <c r="J41" i="55" s="1"/>
  <c r="J39" i="56"/>
  <c r="D18" i="55" s="1"/>
  <c r="J30" i="56"/>
  <c r="J18" i="56"/>
  <c r="H14" i="59" l="1"/>
  <c r="J74" i="55"/>
  <c r="H11" i="59" s="1"/>
  <c r="H36" i="59" l="1"/>
  <c r="H38" i="59" s="1"/>
</calcChain>
</file>

<file path=xl/sharedStrings.xml><?xml version="1.0" encoding="utf-8"?>
<sst xmlns="http://schemas.openxmlformats.org/spreadsheetml/2006/main" count="1759" uniqueCount="890">
  <si>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</si>
  <si>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</si>
  <si>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</si>
  <si>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</si>
  <si>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</si>
  <si>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</si>
  <si>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</si>
  <si>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</si>
  <si>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</si>
  <si>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</si>
  <si>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</si>
  <si>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</si>
  <si>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</si>
  <si>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</si>
  <si>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</si>
  <si>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</si>
  <si>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</si>
  <si>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</si>
  <si>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</si>
  <si>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SI) Total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</si>
  <si>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</si>
  <si>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</si>
  <si>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</si>
  <si>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</si>
  <si>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</si>
  <si>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</si>
  <si>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</si>
  <si>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</si>
  <si>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</si>
  <si>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</si>
  <si>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</si>
  <si>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</si>
  <si>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</si>
  <si>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</si>
  <si>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</si>
  <si>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</si>
  <si>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</si>
  <si>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</si>
  <si>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</si>
  <si>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</si>
  <si>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</si>
  <si>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</si>
  <si>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</si>
  <si>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</si>
  <si>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</si>
  <si>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</si>
  <si>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</si>
  <si>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</si>
  <si>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</si>
  <si>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</si>
  <si>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</si>
  <si>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</si>
  <si>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</si>
  <si>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</si>
  <si>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</si>
  <si>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</si>
  <si>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</si>
  <si>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</si>
  <si>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</si>
  <si>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</si>
  <si>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</si>
  <si>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</si>
  <si>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</si>
  <si>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</si>
  <si>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</si>
  <si>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</si>
  <si>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</si>
  <si>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</si>
  <si>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</si>
  <si>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PART (A) Civil Work)</t>
  </si>
  <si>
    <t xml:space="preserve">Part (A) Civil Work </t>
  </si>
  <si>
    <t>% Sft</t>
  </si>
  <si>
    <t>EXECUTIVE ENGINEER</t>
  </si>
  <si>
    <t>Prov: Bldg Sub-Division.VII</t>
  </si>
  <si>
    <t>Provincial Building Division-II</t>
  </si>
  <si>
    <t>"  "</t>
  </si>
  <si>
    <t>Cement Plaster 1:4 upto 12' Height.</t>
  </si>
  <si>
    <t>(c ) 3/4" thick (S.I.No.13(c)/P-52</t>
  </si>
  <si>
    <t>CONSTRUCTION OF OFFICE HOSTEL RESIDENTIAL BUILDING FOR POULATION WELFARE TRAINING INSTITUTE (P.W.T.I) KARACHI CONSTRUCTION OF CATEGORY IIND BUNGLOW</t>
  </si>
  <si>
    <t>PART (A)Foundation</t>
  </si>
  <si>
    <t>Excavation in foundation of building</t>
  </si>
  <si>
    <t xml:space="preserve">A- Footrings </t>
  </si>
  <si>
    <t>Cf-1</t>
  </si>
  <si>
    <t>Cf-2</t>
  </si>
  <si>
    <t>1x52.50x7.0</t>
  </si>
  <si>
    <t>1x38.0x7.0</t>
  </si>
  <si>
    <t>1x30.0x7.0</t>
  </si>
  <si>
    <t>1x24.50x6.0</t>
  </si>
  <si>
    <t>1x43.0x6.0</t>
  </si>
  <si>
    <t>1x11.50x6.0</t>
  </si>
  <si>
    <t>1x52.50x6.0</t>
  </si>
  <si>
    <t>(A) For Cubical Content</t>
  </si>
  <si>
    <t>1632.50 x 1.50</t>
  </si>
  <si>
    <t>Cft</t>
  </si>
  <si>
    <t>B) Below Outer P.Beam</t>
  </si>
  <si>
    <t>Grid1 A-B</t>
  </si>
  <si>
    <t>1x11.0x2.50</t>
  </si>
  <si>
    <t>1x12.0x2.50</t>
  </si>
  <si>
    <t>1x6.0x2.50</t>
  </si>
  <si>
    <t>1x10.50x2.50</t>
  </si>
  <si>
    <t>1x10.0x2.50</t>
  </si>
  <si>
    <t>1x6.50x2.50</t>
  </si>
  <si>
    <t>1x4.0x2.50</t>
  </si>
  <si>
    <t>Grid1 B-C</t>
  </si>
  <si>
    <t>GridE 1-3</t>
  </si>
  <si>
    <t>GridF 3-5</t>
  </si>
  <si>
    <t>Grid8 A-B</t>
  </si>
  <si>
    <t>Grid8 B-c a</t>
  </si>
  <si>
    <t>(B) For Cubical Content</t>
  </si>
  <si>
    <t>150.00 x 1.50</t>
  </si>
  <si>
    <t>G.Total A+B</t>
  </si>
  <si>
    <t>Cutting Hard Rock such as granite ballast</t>
  </si>
  <si>
    <t>Qty of Item No. 1-A</t>
  </si>
  <si>
    <t>Qty of Item No.1-B</t>
  </si>
  <si>
    <t>1632.50 x 3.50</t>
  </si>
  <si>
    <t>Cement Concrete Brick / Stone Ballast 1:4:8</t>
  </si>
  <si>
    <t>1632.50 x 0.50</t>
  </si>
  <si>
    <t>150.00 x 0.50</t>
  </si>
  <si>
    <t>P/L C.C 1:3:6 Solid Block Masonry in foundation</t>
  </si>
  <si>
    <t>Grid A 1-2</t>
  </si>
  <si>
    <t>1x5.83x0.67x3.50</t>
  </si>
  <si>
    <t>1x11.83x0.67x3.50</t>
  </si>
  <si>
    <t>1x16.83x0.67x3.50</t>
  </si>
  <si>
    <t>1x15.83x0.67x3.50</t>
  </si>
  <si>
    <t>1x14.50x0.67x3.50</t>
  </si>
  <si>
    <t>1x18.83x0.67x3.50</t>
  </si>
  <si>
    <t>1x15.50x0.67x3.50</t>
  </si>
  <si>
    <t>1x9.83x0.67x3.50</t>
  </si>
  <si>
    <t>1x16.50x0.67x3.5</t>
  </si>
  <si>
    <t>1x17.0x4.0x0.67</t>
  </si>
  <si>
    <t>1x17.0x3.0x0.50</t>
  </si>
  <si>
    <t>1x17.x2.0x0.50</t>
  </si>
  <si>
    <t>1x17.0x1.0x0.50</t>
  </si>
  <si>
    <t>Grid A 2-4</t>
  </si>
  <si>
    <t>Grid A 4-6</t>
  </si>
  <si>
    <t>Grid A 6-7</t>
  </si>
  <si>
    <t>Grid E 1-3</t>
  </si>
  <si>
    <t>Grid F 3-5</t>
  </si>
  <si>
    <t>Grid F 5-8</t>
  </si>
  <si>
    <t>Grid 1 A-B</t>
  </si>
  <si>
    <t>Grid 1 B-C</t>
  </si>
  <si>
    <t>Grid 1 C-E</t>
  </si>
  <si>
    <t>Grid 8 A-B</t>
  </si>
  <si>
    <t>Grid 8 B-c a</t>
  </si>
  <si>
    <t>Grid ca-D</t>
  </si>
  <si>
    <t>Grid 8 Ca-D</t>
  </si>
  <si>
    <t>Grid 8 D-F</t>
  </si>
  <si>
    <t>Ent: Steps</t>
  </si>
  <si>
    <t>"</t>
  </si>
  <si>
    <t>R.C.C Work i/c all labour Ratio 1:2:4</t>
  </si>
  <si>
    <t>A Footrings CF-1</t>
  </si>
  <si>
    <t>1x51.50x6.0x1.75</t>
  </si>
  <si>
    <t>1x37.0x6.0x1.75</t>
  </si>
  <si>
    <t>1x29.0x6.0x1.75</t>
  </si>
  <si>
    <t>1x23.50x5.0x1.50</t>
  </si>
  <si>
    <t>1x43.0x5.0x1.50</t>
  </si>
  <si>
    <t>1x11.50x5.0x1.50</t>
  </si>
  <si>
    <t>1x51.50x5.0x1.50</t>
  </si>
  <si>
    <t>13x2.0x0.67x3.0</t>
  </si>
  <si>
    <t>11x2.0x0.67x3.25</t>
  </si>
  <si>
    <t>Pedestal C-1/CF1</t>
  </si>
  <si>
    <t>"  C1/CF-2</t>
  </si>
  <si>
    <t>1x38.50x0.67x2.0</t>
  </si>
  <si>
    <t>1x47.0x0.67x2.0</t>
  </si>
  <si>
    <t>B-Plinth Beam - 1</t>
  </si>
  <si>
    <t>"   "   2</t>
  </si>
  <si>
    <t>"   "   3</t>
  </si>
  <si>
    <t>"   "   4</t>
  </si>
  <si>
    <t>6x15.83x0.67x2.0</t>
  </si>
  <si>
    <t>1x17.0x0.67x2.0</t>
  </si>
  <si>
    <t>1x16.0x0.67x2.0</t>
  </si>
  <si>
    <t>2x11.83x0.67x2.0</t>
  </si>
  <si>
    <t>1x24.50x0.67x2.0</t>
  </si>
  <si>
    <t>1x18.0x0.67x2.0</t>
  </si>
  <si>
    <t>1x23.50x0.67x2.0</t>
  </si>
  <si>
    <t>1x41.50x0.67x2.0</t>
  </si>
  <si>
    <t>1x55.0x0.67x2.0</t>
  </si>
  <si>
    <t>2x7.83x0.67x2.0</t>
  </si>
  <si>
    <t>2x7.50x1.50x0.50</t>
  </si>
  <si>
    <t>18x1.0x0.67x1.0</t>
  </si>
  <si>
    <t>"   "   5</t>
  </si>
  <si>
    <t>"   "   6</t>
  </si>
  <si>
    <t>"   "   7</t>
  </si>
  <si>
    <t>"   "   8</t>
  </si>
  <si>
    <t>"   "   9</t>
  </si>
  <si>
    <t>"   "   10</t>
  </si>
  <si>
    <t>"   "   11</t>
  </si>
  <si>
    <t>"   "   12</t>
  </si>
  <si>
    <t>W- 1 Bottom</t>
  </si>
  <si>
    <t>BR-1</t>
  </si>
  <si>
    <t xml:space="preserve">Fabrication of mild steel </t>
  </si>
  <si>
    <t xml:space="preserve">As per bar bending schedule </t>
  </si>
  <si>
    <t xml:space="preserve">Filling watering ramming earth with </t>
  </si>
  <si>
    <t>surplus earth</t>
  </si>
  <si>
    <t>2/3 rd qty of item no. 01</t>
  </si>
  <si>
    <t>2674 x 2/3</t>
  </si>
  <si>
    <t>new earth</t>
  </si>
  <si>
    <t>Bed Room</t>
  </si>
  <si>
    <t>2x12.0x16.0</t>
  </si>
  <si>
    <t>2x6.0x8.67</t>
  </si>
  <si>
    <t>2x6.0x7.0</t>
  </si>
  <si>
    <t>1x8.0x4.0</t>
  </si>
  <si>
    <t>1x18.50x18.0</t>
  </si>
  <si>
    <t>1x4.0x6.0</t>
  </si>
  <si>
    <t>1x16.0x10.0</t>
  </si>
  <si>
    <t>1x16.0x12.0</t>
  </si>
  <si>
    <t>1x15.0x12.0</t>
  </si>
  <si>
    <t>1x16.0x18.0</t>
  </si>
  <si>
    <t>1x17.50x6.50</t>
  </si>
  <si>
    <t>Bath</t>
  </si>
  <si>
    <t>Dress</t>
  </si>
  <si>
    <t>Lounge</t>
  </si>
  <si>
    <t>Storage</t>
  </si>
  <si>
    <t>Kitchen</t>
  </si>
  <si>
    <t>Dinning</t>
  </si>
  <si>
    <t>Guest</t>
  </si>
  <si>
    <t>Drawing</t>
  </si>
  <si>
    <t>Entrance</t>
  </si>
  <si>
    <t>For Cubical Content</t>
  </si>
  <si>
    <t>1895.0 x 3.0</t>
  </si>
  <si>
    <t>Qty same as Item No. 03</t>
  </si>
  <si>
    <t>Qty same as Item No. 05/A</t>
  </si>
  <si>
    <t>5685.00 - 3196</t>
  </si>
  <si>
    <t>Cement Concrete Brick or stone ballast</t>
  </si>
  <si>
    <t>Qty of item no.08 in Sft</t>
  </si>
  <si>
    <t>1895.0 x 0.33</t>
  </si>
  <si>
    <t>P/L 1 1/2" thick C.C Topping 1:2:4</t>
  </si>
  <si>
    <t>4x17.0x1.0</t>
  </si>
  <si>
    <t>Cement Plaster 1:4 3/4" thick</t>
  </si>
  <si>
    <t>Over Plinth</t>
  </si>
  <si>
    <t>1x2(47.0+58.50)x3.0</t>
  </si>
  <si>
    <t>PART B GROUND FLOOR</t>
  </si>
  <si>
    <t>Fabrication ofmild steel Tor Bars</t>
  </si>
  <si>
    <t>As per Bar Bending Schedule Attached</t>
  </si>
  <si>
    <t>R.C.C Work i/c labour ratio 1:2:4</t>
  </si>
  <si>
    <t>Coloumns</t>
  </si>
  <si>
    <t>RC-1</t>
  </si>
  <si>
    <t>RB-2\</t>
  </si>
  <si>
    <t>RB-3</t>
  </si>
  <si>
    <t>RB-4</t>
  </si>
  <si>
    <t>RB-5</t>
  </si>
  <si>
    <t>RB-6</t>
  </si>
  <si>
    <t>RB-7</t>
  </si>
  <si>
    <t>RB-8</t>
  </si>
  <si>
    <t>RB-9</t>
  </si>
  <si>
    <t>RB-10</t>
  </si>
  <si>
    <t>RB-11</t>
  </si>
  <si>
    <t>RB-12</t>
  </si>
  <si>
    <t>Roof slab</t>
  </si>
  <si>
    <t>Porch</t>
  </si>
  <si>
    <t>W1 Chajja</t>
  </si>
  <si>
    <t>W2"  "</t>
  </si>
  <si>
    <t>W3 "   "</t>
  </si>
  <si>
    <t>24x2.0x0.67x7.17</t>
  </si>
  <si>
    <t>1x38.50x0.67x3.50</t>
  </si>
  <si>
    <t>1x47.0x0.67x3.50</t>
  </si>
  <si>
    <t>6x15.83x0.67x3.50</t>
  </si>
  <si>
    <t>1x17.0x0.67x3.50</t>
  </si>
  <si>
    <t>1x16.0x0.67x3.50</t>
  </si>
  <si>
    <t>2x11.83x0.67x3.50</t>
  </si>
  <si>
    <t>1x24.50x0.67x3.50</t>
  </si>
  <si>
    <t>1x18.0x0.67x3.50</t>
  </si>
  <si>
    <t>1x23.50x0.67x3.50</t>
  </si>
  <si>
    <t>1x41.50x0.67x3.50</t>
  </si>
  <si>
    <t>1x55.0x0.67x3.50</t>
  </si>
  <si>
    <t>2x7.83x0.67x3.50</t>
  </si>
  <si>
    <t>1x47.0x58.50x0.50</t>
  </si>
  <si>
    <t>1x18.0x4.0x0.50</t>
  </si>
  <si>
    <t>5x7.0x1.0x0.50</t>
  </si>
  <si>
    <t>1x5.0x1.0x0.50</t>
  </si>
  <si>
    <t>3x3.0x1.0x0.50</t>
  </si>
  <si>
    <t>Roof offsets B/S</t>
  </si>
  <si>
    <t>"   "   L/S</t>
  </si>
  <si>
    <t>"  "  F/S</t>
  </si>
  <si>
    <t>1x3.50x3.50x0.50</t>
  </si>
  <si>
    <t>1x11.75x7.0x0.50</t>
  </si>
  <si>
    <t>1x12.50x5.50x0.50</t>
  </si>
  <si>
    <t xml:space="preserve">P/L C.C 1:3:6 Block Masonry 6" &amp; </t>
  </si>
  <si>
    <t>Below in thickness</t>
  </si>
  <si>
    <t>Horizontal Walls</t>
  </si>
  <si>
    <t>Back Side</t>
  </si>
  <si>
    <t>1x38.50x0.50x7.17</t>
  </si>
  <si>
    <t>1x8.50x0.50x7.17</t>
  </si>
  <si>
    <t>2x6.0x0.50x7.17</t>
  </si>
  <si>
    <t>1x8.0x0.50x7.17</t>
  </si>
  <si>
    <t>1x46.50x0.50x7.17</t>
  </si>
  <si>
    <t>1x16.0x0.50x7.17</t>
  </si>
  <si>
    <t>2x4.0x0.50x7.17</t>
  </si>
  <si>
    <t>1x15.0x0.50x7.17</t>
  </si>
  <si>
    <t>1x6.50x0.50x7.17</t>
  </si>
  <si>
    <t>1x17.50x0.50x7.17</t>
  </si>
  <si>
    <t>Vertical Walls</t>
  </si>
  <si>
    <t>1x16.50x0.50x7.17</t>
  </si>
  <si>
    <t>1x19.50x0.50x7.17</t>
  </si>
  <si>
    <t>4x16.0x0.50x7.17</t>
  </si>
  <si>
    <t>1x18.0x0.50x7.17</t>
  </si>
  <si>
    <t>1x10.0x0.50x7.17</t>
  </si>
  <si>
    <t>1x12.50x0.50x7.17</t>
  </si>
  <si>
    <t>1x18.50x0.50x7.17</t>
  </si>
  <si>
    <t>1x54.50x0.50x7.17</t>
  </si>
  <si>
    <t>18x1.0x0.50x8.0</t>
  </si>
  <si>
    <t>3x5.0x0.50x7.17</t>
  </si>
  <si>
    <t>3x3.50x0.50x7.17</t>
  </si>
  <si>
    <t>3x3.0x0.50x7.17</t>
  </si>
  <si>
    <t>5x2.50x0.50x7.17</t>
  </si>
  <si>
    <t>2x4.50x0.50x7.17</t>
  </si>
  <si>
    <t>B/W Bath,Dress</t>
  </si>
  <si>
    <t>B/W Bath,Servant</t>
  </si>
  <si>
    <t>B/W Room,Lounge</t>
  </si>
  <si>
    <t>B/W Kit,Dining</t>
  </si>
  <si>
    <t>B/W Drawing, Dining</t>
  </si>
  <si>
    <t>B/W Lounge,Guest</t>
  </si>
  <si>
    <t>Guest F/S</t>
  </si>
  <si>
    <t>Ent F/S</t>
  </si>
  <si>
    <t>Drawing F/S</t>
  </si>
  <si>
    <t>Left Side</t>
  </si>
  <si>
    <t>Beds Partition</t>
  </si>
  <si>
    <t>Lounge L/S</t>
  </si>
  <si>
    <t>Right Sides</t>
  </si>
  <si>
    <t>Window Fins</t>
  </si>
  <si>
    <t>D1</t>
  </si>
  <si>
    <t>D2</t>
  </si>
  <si>
    <t>D3</t>
  </si>
  <si>
    <t>D4</t>
  </si>
  <si>
    <t>Opening</t>
  </si>
  <si>
    <t>W1</t>
  </si>
  <si>
    <t>W2</t>
  </si>
  <si>
    <t>W3</t>
  </si>
  <si>
    <t>8x6.0x0.50x4.0</t>
  </si>
  <si>
    <t>2x3.50x0.50x4.0</t>
  </si>
  <si>
    <t>5x2.0x0.50x1.50</t>
  </si>
  <si>
    <t>24x2.0x0.50x7.17</t>
  </si>
  <si>
    <t>Cement Plaster 1:4 (3/4" thick)</t>
  </si>
  <si>
    <t>A-Internal plaster</t>
  </si>
  <si>
    <t>Baths</t>
  </si>
  <si>
    <t>Servant</t>
  </si>
  <si>
    <t>Dining</t>
  </si>
  <si>
    <t>2x2(12.0+16.0)x10.0</t>
  </si>
  <si>
    <t>2x2(6.0+8.50)x3.50</t>
  </si>
  <si>
    <t>2x2(6.0+7.0)x10.0</t>
  </si>
  <si>
    <t>1x2(8.0+8.0)x10.0</t>
  </si>
  <si>
    <t>1x2(8.0+4.0)x5.0</t>
  </si>
  <si>
    <t>1x2(18.50+18.0)x10.0</t>
  </si>
  <si>
    <t>1x2(16.0+10.0)x5.0</t>
  </si>
  <si>
    <t>1x2(16.0+12.0)x10.0</t>
  </si>
  <si>
    <t>1x2(16.0+18.0)x10.0</t>
  </si>
  <si>
    <t>1x2(15.0+12.0)x10.0</t>
  </si>
  <si>
    <t>1x2(6.50+6.0)x3.50</t>
  </si>
  <si>
    <t>3x1x5.0x7.0</t>
  </si>
  <si>
    <t>3x2x3.50x7.0</t>
  </si>
  <si>
    <t>3x2x3.0x7.0</t>
  </si>
  <si>
    <t>5x1x2.50x7.0</t>
  </si>
  <si>
    <t>2x2x4.50x7.0</t>
  </si>
  <si>
    <t>8x1x6.0x4.0</t>
  </si>
  <si>
    <t>2x1x3.50x4.0</t>
  </si>
  <si>
    <t>5x1x2.0x1.50</t>
  </si>
  <si>
    <t>B-External Plaster</t>
  </si>
  <si>
    <t>"   "</t>
  </si>
  <si>
    <t>Right Side</t>
  </si>
  <si>
    <t>Front Side</t>
  </si>
  <si>
    <t xml:space="preserve"> "   "</t>
  </si>
  <si>
    <t>Windows Fins</t>
  </si>
  <si>
    <t>1x38.50x10.50</t>
  </si>
  <si>
    <t>1x3.50x10.50</t>
  </si>
  <si>
    <t>1x8.50x10.50</t>
  </si>
  <si>
    <t>1x17.0x10.50</t>
  </si>
  <si>
    <t>1x24.50x10.50</t>
  </si>
  <si>
    <t>2x7.0x10.50</t>
  </si>
  <si>
    <t>1x55.0x10.50</t>
  </si>
  <si>
    <t>1x13.0x10.50</t>
  </si>
  <si>
    <t>1x18.50x10.50</t>
  </si>
  <si>
    <t>1x17.50x10.50</t>
  </si>
  <si>
    <t>1x11.0x10.50</t>
  </si>
  <si>
    <t>18x2.50x8.50</t>
  </si>
  <si>
    <t>3x5.0x7.0</t>
  </si>
  <si>
    <t>1x3.0x7.0</t>
  </si>
  <si>
    <t>8x6.0x4.0</t>
  </si>
  <si>
    <t>2x3.50x4.0</t>
  </si>
  <si>
    <t>5x2.0x1.50</t>
  </si>
  <si>
    <t>Total B</t>
  </si>
  <si>
    <t>Total A</t>
  </si>
  <si>
    <t>P/F G.I Frame / Chowkhat for Doors</t>
  </si>
  <si>
    <t>3x19.0</t>
  </si>
  <si>
    <t>3x17.50</t>
  </si>
  <si>
    <t>3x17.0</t>
  </si>
  <si>
    <t>5x16.50</t>
  </si>
  <si>
    <t>Rft</t>
  </si>
  <si>
    <t>P/F inposition Doors Windows Ventilators</t>
  </si>
  <si>
    <t>2x5.0x7.0</t>
  </si>
  <si>
    <t>3x3.50x7.0</t>
  </si>
  <si>
    <t>3x3.0x7.0</t>
  </si>
  <si>
    <t>5x2.50x7.0</t>
  </si>
  <si>
    <t>sft</t>
  </si>
  <si>
    <t>First Class Deodar Wood Wrought Joinery</t>
  </si>
  <si>
    <t>1x5.0x7.0</t>
  </si>
  <si>
    <t>P/F Sunk Iron Screws Wooden Architrative</t>
  </si>
  <si>
    <t>3x2x19.0</t>
  </si>
  <si>
    <t>3x2x17.50</t>
  </si>
  <si>
    <t>3x2x17.0</t>
  </si>
  <si>
    <t>5x2x16.50</t>
  </si>
  <si>
    <t>P/F Approved quality Mortice Lock</t>
  </si>
  <si>
    <t>3 x 1</t>
  </si>
  <si>
    <t>Nos</t>
  </si>
  <si>
    <t>P/L C.C Topping 1:2:4 2" thick</t>
  </si>
  <si>
    <t>Over Roof</t>
  </si>
  <si>
    <t>1x47.0x58.50</t>
  </si>
  <si>
    <t>Offsets</t>
  </si>
  <si>
    <t>1x8.50x3.50</t>
  </si>
  <si>
    <t>1x11.75x7.0</t>
  </si>
  <si>
    <t>1x12.50x5.50</t>
  </si>
  <si>
    <t>Total</t>
  </si>
  <si>
    <t>Priming Coat of Chalk under distemper</t>
  </si>
  <si>
    <t>Ceiling B.Room</t>
  </si>
  <si>
    <t>"  bATh</t>
  </si>
  <si>
    <t>" Dress</t>
  </si>
  <si>
    <t>" Servant</t>
  </si>
  <si>
    <t>" Bath</t>
  </si>
  <si>
    <t>" Lounge</t>
  </si>
  <si>
    <t>" Kitchen</t>
  </si>
  <si>
    <t>" Dining</t>
  </si>
  <si>
    <t>" Drawing</t>
  </si>
  <si>
    <t>" Guest</t>
  </si>
  <si>
    <t>" Bath\</t>
  </si>
  <si>
    <t>" Porch</t>
  </si>
  <si>
    <t>2x6.0x8.50</t>
  </si>
  <si>
    <t>1x8.0x8.0</t>
  </si>
  <si>
    <t>1x6.50x6.0</t>
  </si>
  <si>
    <t>1x17.0x22.0</t>
  </si>
  <si>
    <t>Distempering three Coats</t>
  </si>
  <si>
    <t>Qty same as Item No. 01</t>
  </si>
  <si>
    <t>Preparing Surface &amp; painting with emulsion Paint</t>
  </si>
  <si>
    <t>Qty same as Sch Item No.4-A</t>
  </si>
  <si>
    <t>Preparing the surface &amp; painting with weather Coat</t>
  </si>
  <si>
    <t>Qty same as Sch Item No.4-B</t>
  </si>
  <si>
    <t>Preparing the surface painting doors &amp; windows</t>
  </si>
  <si>
    <t>3x2x5.0x7.0</t>
  </si>
  <si>
    <t>Part C Non Schedule Item</t>
  </si>
  <si>
    <t>S/F inposition Aluminum channel framing</t>
  </si>
  <si>
    <t>for sliding windows</t>
  </si>
  <si>
    <t>P/F Glazed Tiles 18" 12" size</t>
  </si>
  <si>
    <t>Bath Floor</t>
  </si>
  <si>
    <t>" Wall</t>
  </si>
  <si>
    <t>2x1x6.0x8.50</t>
  </si>
  <si>
    <t>2x2(6.0+8.50)x7.0</t>
  </si>
  <si>
    <t>1x1x8.0x4.0</t>
  </si>
  <si>
    <t>1x1x6.50x6.0</t>
  </si>
  <si>
    <t>1x2(6.50+6.0)x7.0</t>
  </si>
  <si>
    <t>1x1x16.0x10.0</t>
  </si>
  <si>
    <t>3x1x2.50x7.0</t>
  </si>
  <si>
    <t>2x1x2.50x5.0</t>
  </si>
  <si>
    <t>Dress Floor</t>
  </si>
  <si>
    <t>Servant Floor</t>
  </si>
  <si>
    <t>2x1x12.0x16.0</t>
  </si>
  <si>
    <t>2x2(12.0+16.0)x0.50</t>
  </si>
  <si>
    <t>2x1x6.0x7.0</t>
  </si>
  <si>
    <t>2x2(6.0+7.0)x0.50</t>
  </si>
  <si>
    <t>1x1x8.0x8.0</t>
  </si>
  <si>
    <t>1x2(8.0+8.0)x0.50</t>
  </si>
  <si>
    <t>Dining Floor</t>
  </si>
  <si>
    <t xml:space="preserve">Drawing Floor </t>
  </si>
  <si>
    <t>1x1x16.0x18.0</t>
  </si>
  <si>
    <t>1x2(16.0x18.0)x0.50</t>
  </si>
  <si>
    <t>1x1x18.50x22.50</t>
  </si>
  <si>
    <t>1x1x6.0x18.0</t>
  </si>
  <si>
    <t>1x2(18.50+22.50)x0.50</t>
  </si>
  <si>
    <t>1x1x12.0x15.0</t>
  </si>
  <si>
    <t>1x2(12.0+15.0)x0.50</t>
  </si>
  <si>
    <t>1x1x17.50x7.0</t>
  </si>
  <si>
    <t>5x1x17.50x1.50</t>
  </si>
  <si>
    <t>1x1x16.0x12.0</t>
  </si>
  <si>
    <t>1x2(16.0+12.0)x0.50</t>
  </si>
  <si>
    <t>Lounge Floor</t>
  </si>
  <si>
    <t>"  Wall</t>
  </si>
  <si>
    <t>Guest Floor</t>
  </si>
  <si>
    <t>Entrance Floor</t>
  </si>
  <si>
    <t>Entrance Steps</t>
  </si>
  <si>
    <t>P/F Iron Steel Grill using solid square Bars</t>
  </si>
  <si>
    <t>BAR BENDING SCHEDULE</t>
  </si>
  <si>
    <t>PART A FOUNDATION</t>
  </si>
  <si>
    <t>A- Footring</t>
  </si>
  <si>
    <t>CF-1 T &amp; B 5/8 "</t>
  </si>
  <si>
    <t>T &amp; B 5/8" dia</t>
  </si>
  <si>
    <t>1x2x156x7.25x1.042</t>
  </si>
  <si>
    <t>1x2x18x53.0x1.042</t>
  </si>
  <si>
    <t>1x26x9.0x1.042</t>
  </si>
  <si>
    <t>1x2x112x7.25x1.042</t>
  </si>
  <si>
    <t>1x2x18x38.50x1.042</t>
  </si>
  <si>
    <t>1x18x9.0x1.042</t>
  </si>
  <si>
    <t>1x2x88x7.25x1.042</t>
  </si>
  <si>
    <t>1x2x18x30.0x1.042</t>
  </si>
  <si>
    <t>1x14x9.0x1.042</t>
  </si>
  <si>
    <t>1x2x71x6.25x1.042</t>
  </si>
  <si>
    <t>1x2x15x24.50x1.042</t>
  </si>
  <si>
    <t>1x12x8.50x1.042</t>
  </si>
  <si>
    <t>1x2x130x6.25x1.042</t>
  </si>
  <si>
    <t>1x2x15x44.25x1.042</t>
  </si>
  <si>
    <t>1x22x8.50x1.042</t>
  </si>
  <si>
    <t>1x2x34x6.25x1.042</t>
  </si>
  <si>
    <t>1x2x15x13.0x1.042</t>
  </si>
  <si>
    <t>1x6x8.50x1.042</t>
  </si>
  <si>
    <t>1x2x156x6.25x1.042</t>
  </si>
  <si>
    <t>1x2x15x53.0x1.042</t>
  </si>
  <si>
    <t>1x26x8.50x1.042</t>
  </si>
  <si>
    <t>24x8x11.0x1.042</t>
  </si>
  <si>
    <t>24x2x17x4.0x0.375</t>
  </si>
  <si>
    <t>Chairs 5/8" dia</t>
  </si>
  <si>
    <t>CF1 T&amp;B 5/8" dia</t>
  </si>
  <si>
    <t>CF1 T &amp; B 5/8" dia</t>
  </si>
  <si>
    <t>CF2 T &amp; B 5/8" dia</t>
  </si>
  <si>
    <t>Pedestal C1 5/8" dia</t>
  </si>
  <si>
    <t>"  3/8" dia</t>
  </si>
  <si>
    <t>1x4x39.50x1.042</t>
  </si>
  <si>
    <t>1x73x5.0x0.375</t>
  </si>
  <si>
    <t>1x4x48.25x1.042</t>
  </si>
  <si>
    <t>1x74x5.0x0.375</t>
  </si>
  <si>
    <t>6x4x17.0x1.042</t>
  </si>
  <si>
    <t>6x25x5.0x0.375</t>
  </si>
  <si>
    <t>1x4x35.50x1.042</t>
  </si>
  <si>
    <t>1x2x13.50x0.667</t>
  </si>
  <si>
    <t>1x2x12.50x0.667</t>
  </si>
  <si>
    <t>1x32x5.0x0.375</t>
  </si>
  <si>
    <t>1x4x25.75x1.042</t>
  </si>
  <si>
    <t>1x2x13.50x1.042</t>
  </si>
  <si>
    <t>1x42x5.0x0.667</t>
  </si>
  <si>
    <t>1x4x20.0x1.042</t>
  </si>
  <si>
    <t>1x2x14.50x0.667</t>
  </si>
  <si>
    <t>1x35x5.0x0.375</t>
  </si>
  <si>
    <t>1x4x25.0x1.042</t>
  </si>
  <si>
    <t>1x40x5.0x0.375</t>
  </si>
  <si>
    <t>1x4x43.0x1.042</t>
  </si>
  <si>
    <t>1x67x5.0x0.667</t>
  </si>
  <si>
    <t>1x4x56.50x1.042</t>
  </si>
  <si>
    <t>1x2x14.0x1.042</t>
  </si>
  <si>
    <t>1x92x5.0x0.375</t>
  </si>
  <si>
    <t>1x4x9.0x0.667</t>
  </si>
  <si>
    <t>1x14x5.0x0.375</t>
  </si>
  <si>
    <t>2x16x3.50x0.667</t>
  </si>
  <si>
    <t>2x2x7.50x0.375</t>
  </si>
  <si>
    <t>18x2x4.50x0.667</t>
  </si>
  <si>
    <t>18x3x1.0x0.375</t>
  </si>
  <si>
    <t>Grid B-1 T &amp; B 5/8"</t>
  </si>
  <si>
    <t>Rings 3/8" dia</t>
  </si>
  <si>
    <t>Plinth B-2 T &amp; B 5/8" dia</t>
  </si>
  <si>
    <t>Plinth B-3 T &amp; B 5/8" dia</t>
  </si>
  <si>
    <t>Plinth B-4 T &amp; B 5/8" dia</t>
  </si>
  <si>
    <t>Extra 1/2" dia</t>
  </si>
  <si>
    <t>Plinth B-5 T &amp; B 5/8" dia</t>
  </si>
  <si>
    <t>1x6x4x5.0x0.375</t>
  </si>
  <si>
    <t>2x4x13.50x1.042</t>
  </si>
  <si>
    <t>2x24x5.0x0.375</t>
  </si>
  <si>
    <t>1x4x18.0x1.042</t>
  </si>
  <si>
    <t>Plinth b-6 T&amp;B 5/8" dia</t>
  </si>
  <si>
    <t>Plinth B7 T &amp; B 5/8" dia</t>
  </si>
  <si>
    <t>Plinth b-8 T&amp;B 5/8" dia</t>
  </si>
  <si>
    <t>Plinth B-9 T &amp; B 5/8" dia</t>
  </si>
  <si>
    <t>Plinth B-10 T &amp; B 5/8" dia</t>
  </si>
  <si>
    <t>Plinth b-11 T&amp;B 5/8" dia</t>
  </si>
  <si>
    <t>Plinth B-12 T &amp; B 5/8" dia</t>
  </si>
  <si>
    <t>W-1 Bottom</t>
  </si>
  <si>
    <t>Distt:</t>
  </si>
  <si>
    <t>BR-1 Main 1/2" dia</t>
  </si>
  <si>
    <t>Dist 3/8" dia</t>
  </si>
  <si>
    <t>Ground Floor</t>
  </si>
  <si>
    <t>Rings</t>
  </si>
  <si>
    <t>Cloumns 5/8" dia</t>
  </si>
  <si>
    <t>24x8x13.50x1.042</t>
  </si>
  <si>
    <t>1x2x39.0x0.667</t>
  </si>
  <si>
    <t>1x73.0x9.0x0.375</t>
  </si>
  <si>
    <t>1x2x47.50x0.667</t>
  </si>
  <si>
    <t>1x74x9.0x0.375</t>
  </si>
  <si>
    <t>6x2x14.0x0.667</t>
  </si>
  <si>
    <t>6x2x16.50x0.667</t>
  </si>
  <si>
    <t>6x25x9.0x0.375</t>
  </si>
  <si>
    <t>1x2x34.50x0.667</t>
  </si>
  <si>
    <t>1x64x9.0x0.375</t>
  </si>
  <si>
    <t>1x4x13.50x1.042</t>
  </si>
  <si>
    <t>1x2x12.75x0.667</t>
  </si>
  <si>
    <t>1x24x9.0x0.375</t>
  </si>
  <si>
    <t>1x2x17.0x0.667</t>
  </si>
  <si>
    <t>1x32x9.0x0.375</t>
  </si>
  <si>
    <t>1x2x25.0x0.667</t>
  </si>
  <si>
    <t>1x42x9.0x0.375</t>
  </si>
  <si>
    <t>1x2x14.50x1.042</t>
  </si>
  <si>
    <t>1x2x19.0x0.667</t>
  </si>
  <si>
    <t>1x2x24.0x0.667</t>
  </si>
  <si>
    <t>1x35x9.0x0.375</t>
  </si>
  <si>
    <t>1x2x14.0x0.667</t>
  </si>
  <si>
    <t>1x67x9.0x0.375</t>
  </si>
  <si>
    <t>1x2x55.50x0.667</t>
  </si>
  <si>
    <t>1x4x9.0x1.042</t>
  </si>
  <si>
    <t>1x2x8.0x0.667</t>
  </si>
  <si>
    <t>1x14.0x9.0x0.375</t>
  </si>
  <si>
    <t>1x20x28.50x1.042</t>
  </si>
  <si>
    <t>1x56x5.50x0.375</t>
  </si>
  <si>
    <t>5x14x2.75x0.667</t>
  </si>
  <si>
    <t>5x3x7.50x0.375</t>
  </si>
  <si>
    <t>1x10x2.75x0.667</t>
  </si>
  <si>
    <t>1x3x5.50x0.375</t>
  </si>
  <si>
    <t>3x7x2.75x0.667</t>
  </si>
  <si>
    <t>3x3x3.50x0.375</t>
  </si>
  <si>
    <t>2x38x14.75x0.667</t>
  </si>
  <si>
    <t>2x24x22.25x0.667</t>
  </si>
  <si>
    <t>2x8x12.0x0.667</t>
  </si>
  <si>
    <t>2x10x2.50x0.375</t>
  </si>
  <si>
    <t>1x38x17.50x0.667</t>
  </si>
  <si>
    <t>1x24x22.0x0.667</t>
  </si>
  <si>
    <t>1x8x12.0x0.667</t>
  </si>
  <si>
    <t>1x10x2.50x0.375</t>
  </si>
  <si>
    <t>1x36x17.25x0.667</t>
  </si>
  <si>
    <t>1x24x21.0x0.667</t>
  </si>
  <si>
    <t>1x20x2.50x0.375</t>
  </si>
  <si>
    <t>1x32x12.83x0.667</t>
  </si>
  <si>
    <t>1x20x22.25x0.667</t>
  </si>
  <si>
    <t>1x8x10.0x0.667</t>
  </si>
  <si>
    <t>1x8x2.50x0.375</t>
  </si>
  <si>
    <t>1x92x12.50x0.667</t>
  </si>
  <si>
    <t>1x92x14.75x0.667</t>
  </si>
  <si>
    <t>1x46x25.25x0.667</t>
  </si>
  <si>
    <t>1x55x27.25x0.667</t>
  </si>
  <si>
    <t>1x34x25.0x0.667</t>
  </si>
  <si>
    <t>1x2x8x18.0x0.667</t>
  </si>
  <si>
    <t>1x1x9x15.0x0.667</t>
  </si>
  <si>
    <t>1x40x2.50x0.375</t>
  </si>
  <si>
    <t>1x41x7.0x0.667</t>
  </si>
  <si>
    <t>1x14x17.0x0.375</t>
  </si>
  <si>
    <t>1x16.x2.50x0.375</t>
  </si>
  <si>
    <t>1x55x25.25x0.667</t>
  </si>
  <si>
    <t>1x32x24.50x0.667</t>
  </si>
  <si>
    <t>1x1x9x16.0x0.667</t>
  </si>
  <si>
    <t>2x32x8.83x0.667</t>
  </si>
  <si>
    <t>2x12x22.0x0.667</t>
  </si>
  <si>
    <t>2x8x6.0x0.667</t>
  </si>
  <si>
    <t>2x8x2.50x0.375</t>
  </si>
  <si>
    <t>1x25x12.25x0.667</t>
  </si>
  <si>
    <t>1x16x17.75x0.667</t>
  </si>
  <si>
    <t>1x4x12.0x0.667</t>
  </si>
  <si>
    <t>1x6x8.0x0.667</t>
  </si>
  <si>
    <t>1x14x2.50x0.375</t>
  </si>
  <si>
    <t>1x12x9.50x0.667</t>
  </si>
  <si>
    <t>1x12x10.0x0.667</t>
  </si>
  <si>
    <t>1x2x3x5.0x0.667</t>
  </si>
  <si>
    <t>1x80x9.0x0.667</t>
  </si>
  <si>
    <t>1x18x40.0x0.375</t>
  </si>
  <si>
    <t>1x60x2.50x0.375</t>
  </si>
  <si>
    <t>1x32x9.0x0.667</t>
  </si>
  <si>
    <t>1x18x16x0.375</t>
  </si>
  <si>
    <t>1x54x2.50x0.375</t>
  </si>
  <si>
    <t>4x32x7.0x0.667</t>
  </si>
  <si>
    <t>4x14x15.0x0.375</t>
  </si>
  <si>
    <t>4x20x2.50x0.375</t>
  </si>
  <si>
    <t>1x46x9.0x0.667</t>
  </si>
  <si>
    <t>1x18x22.0x0.375</t>
  </si>
  <si>
    <t>1x24x9.0x0.667</t>
  </si>
  <si>
    <t>1x18x12.0x0.375</t>
  </si>
  <si>
    <t>RB-1 T &amp; B 5/8" dia</t>
  </si>
  <si>
    <t xml:space="preserve">Mid </t>
  </si>
  <si>
    <t xml:space="preserve">Rings </t>
  </si>
  <si>
    <t>RB-2 T &amp; B 5/8" dia</t>
  </si>
  <si>
    <t>Mid 1/2" dia</t>
  </si>
  <si>
    <t>RB-3 T &amp; B 5/8" dia</t>
  </si>
  <si>
    <t>Extra</t>
  </si>
  <si>
    <t>Mid</t>
  </si>
  <si>
    <t>RB--4 T&amp;B 5/8" dia</t>
  </si>
  <si>
    <t>RB-5 T&amp;B 5/8" dia</t>
  </si>
  <si>
    <t>RB-6 T&amp;B 5/8" dia</t>
  </si>
  <si>
    <t>RB-7 T&amp;B 5/8" dia</t>
  </si>
  <si>
    <t>RB-8 T&amp;B 5/8" dia</t>
  </si>
  <si>
    <t>RB-9 T&amp;B 5/8" dia</t>
  </si>
  <si>
    <t>RB-10 T&amp;B 5/8" dia</t>
  </si>
  <si>
    <t>Extra 5/8" dia</t>
  </si>
  <si>
    <t>1x2x42.0x0.667</t>
  </si>
  <si>
    <t>RB-11 T&amp;B 5/8" dia</t>
  </si>
  <si>
    <t>1x92x9.0x1.042</t>
  </si>
  <si>
    <t>RB-12 T&amp;B 5/8" dia</t>
  </si>
  <si>
    <t>CB-1 T &amp; B 5/8" dia</t>
  </si>
  <si>
    <t>W-1 Chajja Main 1/2" dia</t>
  </si>
  <si>
    <t>W2 Chajja Main 1/2" dia</t>
  </si>
  <si>
    <t>W3 Chajja Main 1/2" dia</t>
  </si>
  <si>
    <t>B.Room S-1 Main 1/2" dia</t>
  </si>
  <si>
    <t>Dist 1/2" dia</t>
  </si>
  <si>
    <t>O.bend 1/2" dia</t>
  </si>
  <si>
    <t>Chain 3/8" dia</t>
  </si>
  <si>
    <t>Drawing S-1 1/2" dia</t>
  </si>
  <si>
    <t>Guest S-1 Main 1/2" dia</t>
  </si>
  <si>
    <t>o.bend 1/2" dia</t>
  </si>
  <si>
    <t>o.bend 1/" dia</t>
  </si>
  <si>
    <t>1x7x15.0x0.667</t>
  </si>
  <si>
    <t>Kitchen S-2 Main 1/2" dia</t>
  </si>
  <si>
    <t>O.Bend 1/2" dia</t>
  </si>
  <si>
    <t>Lounge S-2 Main 1/2" dia</t>
  </si>
  <si>
    <t xml:space="preserve">Main </t>
  </si>
  <si>
    <t>Porch S-2 Main 1/2" dia</t>
  </si>
  <si>
    <t>Ext Chajja 1/2" dia</t>
  </si>
  <si>
    <t>Drawing S-3 Main 1/2" dia</t>
  </si>
  <si>
    <t>Dress S-4 Main 1/2" dia</t>
  </si>
  <si>
    <t>Servant S-5 Main 1/2" dia</t>
  </si>
  <si>
    <t>Bath S-5 Main 1/2" dia</t>
  </si>
  <si>
    <t>Extra on RB-2 main 1/2" dia</t>
  </si>
  <si>
    <t>Extra on RB-4 main 1/2" dia</t>
  </si>
  <si>
    <t>Extra on RB-3 main 1/2" dia</t>
  </si>
  <si>
    <t>Extra on RB-10 main 1/2" dia</t>
  </si>
  <si>
    <t>Extra on RB-5 main 1/2" dia</t>
  </si>
  <si>
    <t>Lbs</t>
  </si>
  <si>
    <t>Cwt</t>
  </si>
  <si>
    <t>24973.03 / 112</t>
  </si>
  <si>
    <t>27469.82 / 112</t>
  </si>
  <si>
    <t xml:space="preserve">Excavation in foundation of building </t>
  </si>
  <si>
    <t xml:space="preserve">Bridges and Other structure including </t>
  </si>
  <si>
    <t xml:space="preserve">Dagbelling dressing,refilling around </t>
  </si>
  <si>
    <t>structure with excavated earth watering</t>
  </si>
  <si>
    <t>and ramming lead upto 5 ft</t>
  </si>
  <si>
    <t>% 0 Cft</t>
  </si>
  <si>
    <t>(b) In ordinary soil.</t>
  </si>
  <si>
    <t xml:space="preserve">Cutting hard rock such as granite, ballast, </t>
  </si>
  <si>
    <t xml:space="preserve">hard lime stone or sand stone etc. with </t>
  </si>
  <si>
    <t>chisels and hammers for small foundations.</t>
  </si>
  <si>
    <t>Cement concrete brick or stone ballast 1-1/2" to</t>
  </si>
  <si>
    <t>2" guage Ratio 1:4:8 (S.I.No.4(b)P-15).</t>
  </si>
  <si>
    <t>%Cft</t>
  </si>
  <si>
    <t xml:space="preserve">Providing and laying 1 :3 : 6  Cement </t>
  </si>
  <si>
    <t xml:space="preserve">concrete solid Block masorany set in </t>
  </si>
  <si>
    <t xml:space="preserve">1 :6 cement sand mortar in plinth and </t>
  </si>
  <si>
    <t xml:space="preserve">foundation in cluding raking out joints </t>
  </si>
  <si>
    <t>and curing etc. complete.(S.I.22/P-19)</t>
  </si>
  <si>
    <t>% Cft</t>
  </si>
  <si>
    <t>R.C.C work including all labour and material</t>
  </si>
  <si>
    <t xml:space="preserve">except the cost of steel reinforcement and its </t>
  </si>
  <si>
    <t xml:space="preserve">labour for bending and binding which will be </t>
  </si>
  <si>
    <t>paid separatelt.  This rate also includeda all</t>
  </si>
  <si>
    <t xml:space="preserve">kind of forms moulds lifting shuttering curring </t>
  </si>
  <si>
    <t>rendering and finishing the exposed surface</t>
  </si>
  <si>
    <t>including screeening and washing of shingle.</t>
  </si>
  <si>
    <t xml:space="preserve">(a) RCC work in roof slab, beams columns </t>
  </si>
  <si>
    <t xml:space="preserve">rafts lintels and other structural member laid </t>
  </si>
  <si>
    <t xml:space="preserve">in situ or precast laid in position complete in </t>
  </si>
  <si>
    <t>all respect (I) Ratio 1:2:4 90 Lbs. Cement 2 Cft.</t>
  </si>
  <si>
    <t>Sand 4Cft. Shingle 1/8" to 1/4" guage.</t>
  </si>
  <si>
    <t>(S.I.No. 6-a-i P-18).</t>
  </si>
  <si>
    <t>P.Cft.</t>
  </si>
  <si>
    <t xml:space="preserve">Fabrication of Miled steel reinforcement for </t>
  </si>
  <si>
    <t xml:space="preserve">cement concrete including cutting bendidng </t>
  </si>
  <si>
    <t>laying in position making joints and fastening</t>
  </si>
  <si>
    <t>including cost of binding wire also I/c removal</t>
  </si>
  <si>
    <t>of rust from Bars.(a) Using for Tor Bars.</t>
  </si>
  <si>
    <t>(S.I.No. 7-b P-20)</t>
  </si>
  <si>
    <t>P.Cwt</t>
  </si>
  <si>
    <t xml:space="preserve">Filling, watering and ramming earth in floors with </t>
  </si>
  <si>
    <t xml:space="preserve">surplus earth from foundation lead upto </t>
  </si>
  <si>
    <t>one chain  and lift upto 5 feet. (SI.21/P-4)</t>
  </si>
  <si>
    <t>Filling, watering and ramming earth under floor</t>
  </si>
  <si>
    <t xml:space="preserve"> with new earth (Excavated  from outside) lead </t>
  </si>
  <si>
    <t xml:space="preserve">upto one chain and lift upto 5 feet. (SI.22/P4) </t>
  </si>
  <si>
    <t>Extra lead 21.00 Miles (771.96+32.56x15</t>
  </si>
  <si>
    <t xml:space="preserve">=1260.36  P%Cft </t>
  </si>
  <si>
    <t xml:space="preserve">For 1000 Cft 12603.60 + composite rate </t>
  </si>
  <si>
    <t>of schedule 12603.60 + 3630 = 16233.60 P%Cft)</t>
  </si>
  <si>
    <t xml:space="preserve">Cement concrete brick or stone ballast </t>
  </si>
  <si>
    <t xml:space="preserve">1 1/2" to 2" gauge. (c) Ratio 1 : 5 : 10 </t>
  </si>
  <si>
    <t>(SI.4(c)/P-17)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</si>
  <si>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</si>
  <si>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</si>
  <si>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</si>
  <si>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</si>
  <si>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</si>
  <si>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</si>
  <si>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</si>
  <si>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</si>
  <si>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</si>
  <si>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</si>
  <si>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</si>
  <si>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</si>
  <si>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</si>
  <si>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</si>
  <si>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</si>
  <si>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</si>
  <si>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</si>
  <si>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P.Rft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</si>
  <si>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</si>
  <si>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</si>
  <si>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</si>
  <si>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</si>
  <si>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</si>
  <si>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</si>
  <si>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</si>
  <si>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</si>
  <si>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</si>
  <si>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 xml:space="preserve">First class deodar wood wrought joinery work  </t>
  </si>
  <si>
    <t xml:space="preserve"> in wire gauze door and windows with 22 S.W.G .</t>
  </si>
  <si>
    <t>Galvanized wire jgauze 144 mesh per square</t>
  </si>
  <si>
    <t>inch iron fittings complete. 14-b/58</t>
  </si>
  <si>
    <t xml:space="preserve">(b) 1 1/2" thick deodar wood framing </t>
  </si>
  <si>
    <t>including wire gauze with ordinary hinges.</t>
  </si>
  <si>
    <t xml:space="preserve">Providing and fixing with sunk iron screws  </t>
  </si>
  <si>
    <t>wooden Architrave approved design/ shape having</t>
  </si>
  <si>
    <t>width not less than 2- 1/2  inches as directed</t>
  </si>
  <si>
    <t xml:space="preserve"> by Engineer Incharge.</t>
  </si>
  <si>
    <t xml:space="preserve">Providing and fixing approved quality mortice </t>
  </si>
  <si>
    <t>lock.(S.I N0.21 P-60)</t>
  </si>
  <si>
    <t>Each</t>
  </si>
  <si>
    <t>Priming coat of chalk distemper.</t>
  </si>
  <si>
    <t>(S.I.No. 24-b P-54).</t>
  </si>
  <si>
    <t>%Sft</t>
  </si>
  <si>
    <t>Distempering. Three coats.</t>
  </si>
  <si>
    <t xml:space="preserve">Preparing the surface and painting with </t>
  </si>
  <si>
    <t xml:space="preserve">plastic emulsion paint of approved make I/c </t>
  </si>
  <si>
    <t xml:space="preserve">rubbing the surface with sand Paper, </t>
  </si>
  <si>
    <t xml:space="preserve">filling the voids with chalk / plaster of paris and then </t>
  </si>
  <si>
    <t>painting etc. complete.2nd &amp; Subsequent Coat</t>
  </si>
  <si>
    <t>weather coat i/c rubbing the surface with</t>
  </si>
  <si>
    <t>rubbing brick / sand paper, filling the voids</t>
  </si>
  <si>
    <t xml:space="preserve">with chalk / plaster of paris and then </t>
  </si>
  <si>
    <t xml:space="preserve">painting with approved make. (b) 2nd </t>
  </si>
  <si>
    <t>subsequent coat(S.I.No.38(a+b+b)/P-56)</t>
  </si>
  <si>
    <t>Preparing new surface © Painting to doors</t>
  </si>
  <si>
    <t>and windows any type (including edges in</t>
  </si>
  <si>
    <t>three coats (S.I.No. 5-c(I+ii+iii P-67).</t>
  </si>
  <si>
    <t>%Sft.</t>
  </si>
  <si>
    <t xml:space="preserve">Supplying and fixing in position Aluminum  </t>
  </si>
  <si>
    <t xml:space="preserve">channels framing for sliding windows &amp; ventilators of </t>
  </si>
  <si>
    <t xml:space="preserve">Lucky or equivalent made with 5mm thick tinted glass </t>
  </si>
  <si>
    <t xml:space="preserve">glazing (Belgium) and aluminum fly screen, handles, </t>
  </si>
  <si>
    <t xml:space="preserve">stoppers and locking arrangement etc complete.  (b) </t>
  </si>
  <si>
    <t>Deluxe Model (Bronze of Champion color)  (R.A)</t>
  </si>
  <si>
    <t xml:space="preserve">Part C Non Schedule Item </t>
  </si>
  <si>
    <t xml:space="preserve">jointed with cement &amp; laid  over bed of 3/4" thick grey </t>
  </si>
  <si>
    <t xml:space="preserve">cement mortar ratio 1:3 i/c washing filling of joints </t>
  </si>
  <si>
    <t>with matching colour groute complete in all respect.</t>
  </si>
  <si>
    <t xml:space="preserve">P/F Glazed tile 18"x12"x3/8" or 10"x13"x3/8" thick </t>
  </si>
  <si>
    <t>(Imported or equivalent as directed by the E.I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</si>
  <si>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</si>
  <si>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</si>
  <si>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</si>
  <si>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</si>
  <si>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</si>
  <si>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Part "C" Non Schedule Item</t>
  </si>
  <si>
    <t>Part "B" Civil Works Ground Floor</t>
  </si>
  <si>
    <t>Part "A" Civil Works Foundation</t>
  </si>
  <si>
    <t>Chairs 3/8" dia</t>
  </si>
  <si>
    <t>chairs 3/8" dia</t>
  </si>
  <si>
    <t>Providing &amp; Laying marble flooring super</t>
  </si>
  <si>
    <t>China Verona Teravera or  equivalent</t>
  </si>
  <si>
    <t>Providing &amp; Fixing Porceline tiles 16"x16"</t>
  </si>
  <si>
    <t>or 24"x24"x1/4" as approved sized specified</t>
  </si>
  <si>
    <t xml:space="preserve">approved quality make design and colour </t>
  </si>
  <si>
    <t>i/c jointing in white cement in/c washing of tiles</t>
  </si>
  <si>
    <t xml:space="preserve">and filling of joints with slurry in white cement </t>
  </si>
  <si>
    <t xml:space="preserve">in desired shape with finishing in/c cutting of </t>
  </si>
  <si>
    <t xml:space="preserve">tiles to proper profile in/c all respect labour </t>
  </si>
  <si>
    <t>and necessary required material as directed</t>
  </si>
  <si>
    <t>by the Engineer Incharge etc complete</t>
  </si>
  <si>
    <t>' SCHEDULE " B "</t>
  </si>
  <si>
    <t>Above Or Below</t>
  </si>
  <si>
    <t>Rupees Three Thousand One Hundred Seventy Six and Twenty Five Ps Only</t>
  </si>
  <si>
    <t xml:space="preserve">Rupees Twenty Eight Thousand Six Hundred Seventy Two and Five Ps </t>
  </si>
  <si>
    <t>Rupees Nine Thousand Four Hundred Sixteen and Twenty Eight</t>
  </si>
  <si>
    <t>Rupees Forteen Thousand Two Hundred Sixty Eight and Fifty Three Ps</t>
  </si>
  <si>
    <t>Rupees Three Hundred Thirty Seven Only</t>
  </si>
  <si>
    <t>Rupees Five Thousand One and Seventy Ps Only</t>
  </si>
  <si>
    <t xml:space="preserve">Rupees Fifteen Hundred Twelve and Fifty Ps </t>
  </si>
  <si>
    <t>Rupees Sixteen Thousand Two Hundred Thirty Three and Sixty PsOnly</t>
  </si>
  <si>
    <t>Rupees Twenty Five Hundred Forty Eight and Twenty Nine Ps Only</t>
  </si>
  <si>
    <t>Rupees Eighty Six Hundred Ninty Four and Ninty Five Ps</t>
  </si>
  <si>
    <t>Rupees Three Thousand Fifteen and Seventy Six Only</t>
  </si>
  <si>
    <t>SUMMARY OF COST</t>
  </si>
  <si>
    <t>PART A</t>
  </si>
  <si>
    <t>Cost of Civil Work Schedule Item</t>
  </si>
  <si>
    <t>Rs.</t>
  </si>
  <si>
    <t>PART A-ii</t>
  </si>
  <si>
    <t>Cost of Civil Work Ground Floor</t>
  </si>
  <si>
    <t>PART B</t>
  </si>
  <si>
    <t>Cost of Non Schedule Item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</si>
  <si>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</si>
  <si>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</si>
  <si>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</si>
  <si>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</si>
  <si>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</si>
  <si>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</si>
  <si>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</si>
  <si>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</si>
  <si>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</si>
  <si>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</si>
  <si>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</si>
  <si>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</si>
  <si>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</si>
  <si>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</si>
  <si>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</si>
  <si>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</si>
  <si>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</si>
  <si>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</si>
  <si>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 xml:space="preserve">CONSTRUCTION OF OFFICE HOSTEL RESIDENTIAL BUILDING FOR POULATION WELFARE TRAINING INSTITUTE (P.W.T.I) KARACHI CONSTRUCTION OF CATEGORY 2ND BUNGLOW CIVIL WORK REMAINING WORK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</si>
</sst>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1"/>
      <name val="Arial"/>
      <family val="2"/>
    </font>
    <font>
      <i/>
      <sz val="10"/>
      <name val="Times New Roman"/>
      <family val="1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i/>
      <u/>
      <sz val="12"/>
      <name val="Times New Roman"/>
      <family val="1"/>
    </font>
    <font>
      <i/>
      <sz val="9"/>
      <name val="Times New Roman"/>
      <family val="1"/>
    </font>
    <font>
      <sz val="9"/>
      <name val="Arial"/>
      <family val="2"/>
    </font>
    <font>
      <b/>
      <i/>
      <u/>
      <sz val="9"/>
      <name val="Times New Roman"/>
      <family val="1"/>
    </font>
    <font>
      <i/>
      <sz val="11"/>
      <color rgb="FF00000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2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right"/>
    </xf>
    <xf numFmtId="164" fontId="2" fillId="0" borderId="0" xfId="0" applyNumberFormat="1" applyFont="1" applyBorder="1" applyAlignment="1">
      <alignment vertical="top"/>
    </xf>
    <xf numFmtId="0" fontId="5" fillId="0" borderId="0" xfId="0" applyFont="1"/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" fillId="0" borderId="0" xfId="0" applyFont="1"/>
    <xf numFmtId="0" fontId="17" fillId="0" borderId="0" xfId="0" applyFont="1"/>
    <xf numFmtId="0" fontId="19" fillId="0" borderId="0" xfId="0" applyFont="1"/>
    <xf numFmtId="0" fontId="16" fillId="0" borderId="0" xfId="0" quotePrefix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7" fillId="0" borderId="1" xfId="0" applyFont="1" applyBorder="1"/>
    <xf numFmtId="0" fontId="19" fillId="0" borderId="2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19" fillId="0" borderId="0" xfId="0" applyFont="1" applyFill="1"/>
    <xf numFmtId="0" fontId="19" fillId="0" borderId="0" xfId="0" applyFont="1" applyFill="1" applyAlignment="1">
      <alignment vertical="top"/>
    </xf>
    <xf numFmtId="2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/>
    <xf numFmtId="0" fontId="19" fillId="0" borderId="0" xfId="0" applyFont="1" applyFill="1" applyAlignment="1">
      <alignment horizontal="right"/>
    </xf>
    <xf numFmtId="0" fontId="19" fillId="0" borderId="0" xfId="0" quotePrefix="1" applyFont="1" applyFill="1" applyAlignment="1">
      <alignment horizontal="center"/>
    </xf>
    <xf numFmtId="166" fontId="19" fillId="0" borderId="0" xfId="0" quotePrefix="1" applyNumberFormat="1" applyFont="1" applyFill="1" applyAlignment="1">
      <alignment horizontal="left"/>
    </xf>
    <xf numFmtId="0" fontId="19" fillId="0" borderId="0" xfId="0" applyFont="1" applyFill="1" applyAlignment="1">
      <alignment horizontal="center"/>
    </xf>
    <xf numFmtId="165" fontId="19" fillId="0" borderId="0" xfId="1" quotePrefix="1" applyNumberFormat="1" applyFont="1" applyFill="1" applyAlignment="1">
      <alignment horizontal="right" vertical="top"/>
    </xf>
    <xf numFmtId="0" fontId="19" fillId="0" borderId="0" xfId="0" quotePrefix="1" applyFont="1" applyFill="1" applyAlignment="1">
      <alignment horizontal="left"/>
    </xf>
    <xf numFmtId="0" fontId="19" fillId="0" borderId="0" xfId="0" applyFont="1" applyFill="1" applyAlignment="1"/>
    <xf numFmtId="0" fontId="19" fillId="0" borderId="0" xfId="0" applyFont="1" applyFill="1" applyAlignment="1">
      <alignment wrapText="1"/>
    </xf>
    <xf numFmtId="0" fontId="19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9" fillId="0" borderId="0" xfId="0" quotePrefix="1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17" fillId="0" borderId="0" xfId="0" applyNumberFormat="1" applyFont="1" applyBorder="1" applyAlignment="1">
      <alignment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9" fillId="0" borderId="0" xfId="0" quotePrefix="1" applyFont="1" applyAlignment="1">
      <alignment wrapText="1"/>
    </xf>
    <xf numFmtId="166" fontId="19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wrapText="1"/>
    </xf>
    <xf numFmtId="165" fontId="19" fillId="0" borderId="0" xfId="1" quotePrefix="1" applyNumberFormat="1" applyFont="1" applyAlignment="1">
      <alignment horizontal="right" wrapText="1"/>
    </xf>
    <xf numFmtId="0" fontId="19" fillId="0" borderId="0" xfId="0" quotePrefix="1" applyFont="1" applyAlignment="1">
      <alignment horizontal="left"/>
    </xf>
    <xf numFmtId="2" fontId="19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165" fontId="17" fillId="0" borderId="4" xfId="0" applyNumberFormat="1" applyFont="1" applyBorder="1" applyAlignment="1">
      <alignment horizontal="center"/>
    </xf>
    <xf numFmtId="0" fontId="17" fillId="0" borderId="4" xfId="0" quotePrefix="1" applyFont="1" applyBorder="1" applyAlignment="1">
      <alignment horizontal="left"/>
    </xf>
    <xf numFmtId="0" fontId="17" fillId="0" borderId="0" xfId="0" applyFont="1" applyFill="1" applyAlignment="1">
      <alignment horizontal="right" vertical="top"/>
    </xf>
    <xf numFmtId="165" fontId="17" fillId="0" borderId="3" xfId="1" quotePrefix="1" applyNumberFormat="1" applyFont="1" applyFill="1" applyBorder="1" applyAlignment="1">
      <alignment horizontal="right" vertical="top"/>
    </xf>
    <xf numFmtId="0" fontId="19" fillId="0" borderId="2" xfId="0" quotePrefix="1" applyFont="1" applyFill="1" applyBorder="1" applyAlignment="1">
      <alignment horizontal="left"/>
    </xf>
    <xf numFmtId="0" fontId="15" fillId="0" borderId="0" xfId="0" applyFont="1"/>
    <xf numFmtId="2" fontId="17" fillId="0" borderId="0" xfId="0" applyNumberFormat="1" applyFont="1" applyFill="1" applyBorder="1"/>
    <xf numFmtId="0" fontId="19" fillId="0" borderId="0" xfId="0" quotePrefix="1" applyFont="1" applyFill="1"/>
    <xf numFmtId="165" fontId="17" fillId="0" borderId="6" xfId="0" applyNumberFormat="1" applyFont="1" applyBorder="1" applyAlignment="1">
      <alignment horizontal="center"/>
    </xf>
    <xf numFmtId="0" fontId="17" fillId="0" borderId="6" xfId="0" quotePrefix="1" applyFont="1" applyBorder="1" applyAlignment="1">
      <alignment horizontal="left"/>
    </xf>
    <xf numFmtId="165" fontId="17" fillId="0" borderId="0" xfId="1" quotePrefix="1" applyNumberFormat="1" applyFont="1" applyFill="1" applyBorder="1" applyAlignment="1">
      <alignment horizontal="right" vertical="top"/>
    </xf>
    <xf numFmtId="165" fontId="17" fillId="0" borderId="0" xfId="0" applyNumberFormat="1" applyFont="1" applyBorder="1" applyAlignment="1">
      <alignment horizontal="center"/>
    </xf>
    <xf numFmtId="0" fontId="19" fillId="0" borderId="0" xfId="0" applyFont="1" applyFill="1" applyAlignment="1">
      <alignment horizontal="center" vertical="top"/>
    </xf>
    <xf numFmtId="0" fontId="20" fillId="0" borderId="0" xfId="0" applyFont="1"/>
    <xf numFmtId="2" fontId="17" fillId="0" borderId="0" xfId="0" applyNumberFormat="1" applyFont="1" applyFill="1" applyBorder="1" applyAlignment="1">
      <alignment vertical="top"/>
    </xf>
    <xf numFmtId="0" fontId="18" fillId="0" borderId="0" xfId="0" applyFont="1" applyAlignment="1">
      <alignment horizontal="right" vertical="top"/>
    </xf>
    <xf numFmtId="12" fontId="17" fillId="0" borderId="0" xfId="0" applyNumberFormat="1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18" fillId="0" borderId="7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21" fillId="0" borderId="0" xfId="0" applyFont="1"/>
    <xf numFmtId="0" fontId="18" fillId="0" borderId="0" xfId="0" applyFont="1" applyAlignment="1">
      <alignment horizontal="right"/>
    </xf>
    <xf numFmtId="0" fontId="18" fillId="0" borderId="0" xfId="0" applyFont="1"/>
    <xf numFmtId="165" fontId="18" fillId="0" borderId="0" xfId="2" applyNumberFormat="1" applyFont="1" applyAlignment="1">
      <alignment horizontal="right" vertical="top"/>
    </xf>
    <xf numFmtId="0" fontId="15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165" fontId="15" fillId="0" borderId="0" xfId="2" applyNumberFormat="1" applyFont="1" applyBorder="1" applyAlignment="1">
      <alignment horizontal="right"/>
    </xf>
    <xf numFmtId="0" fontId="18" fillId="0" borderId="0" xfId="0" applyFont="1" applyAlignment="1">
      <alignment vertical="top"/>
    </xf>
    <xf numFmtId="165" fontId="18" fillId="0" borderId="0" xfId="2" applyNumberFormat="1" applyFont="1" applyBorder="1" applyAlignment="1">
      <alignment horizontal="right"/>
    </xf>
    <xf numFmtId="0" fontId="18" fillId="0" borderId="0" xfId="0" quotePrefix="1" applyFont="1" applyAlignment="1">
      <alignment vertical="top"/>
    </xf>
    <xf numFmtId="0" fontId="15" fillId="0" borderId="0" xfId="0" applyFont="1" applyAlignment="1">
      <alignment horizontal="right"/>
    </xf>
    <xf numFmtId="165" fontId="15" fillId="0" borderId="0" xfId="2" applyNumberFormat="1" applyFont="1" applyAlignment="1">
      <alignment horizontal="right" vertical="top"/>
    </xf>
    <xf numFmtId="165" fontId="18" fillId="0" borderId="3" xfId="1" applyNumberFormat="1" applyFont="1" applyBorder="1" applyAlignment="1">
      <alignment horizontal="right"/>
    </xf>
    <xf numFmtId="0" fontId="18" fillId="0" borderId="2" xfId="0" quotePrefix="1" applyFont="1" applyBorder="1" applyAlignment="1">
      <alignment vertical="top"/>
    </xf>
    <xf numFmtId="165" fontId="15" fillId="0" borderId="0" xfId="2" applyNumberFormat="1" applyFont="1" applyAlignment="1">
      <alignment vertical="top"/>
    </xf>
    <xf numFmtId="165" fontId="15" fillId="0" borderId="0" xfId="0" applyNumberFormat="1" applyFont="1" applyAlignment="1">
      <alignment vertical="top"/>
    </xf>
    <xf numFmtId="165" fontId="18" fillId="0" borderId="3" xfId="2" applyNumberFormat="1" applyFont="1" applyBorder="1"/>
    <xf numFmtId="0" fontId="15" fillId="0" borderId="2" xfId="0" quotePrefix="1" applyFont="1" applyBorder="1"/>
    <xf numFmtId="165" fontId="18" fillId="0" borderId="0" xfId="2" applyNumberFormat="1" applyFont="1" applyBorder="1"/>
    <xf numFmtId="0" fontId="15" fillId="0" borderId="0" xfId="0" quotePrefix="1" applyFont="1" applyBorder="1"/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4" fillId="0" borderId="0" xfId="0" applyFont="1"/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horizontal="right"/>
    </xf>
    <xf numFmtId="0" fontId="19" fillId="0" borderId="0" xfId="0" applyFont="1" applyAlignment="1"/>
    <xf numFmtId="2" fontId="17" fillId="0" borderId="0" xfId="0" applyNumberFormat="1" applyFont="1" applyAlignment="1">
      <alignment horizontal="right"/>
    </xf>
    <xf numFmtId="0" fontId="17" fillId="0" borderId="0" xfId="0" applyFont="1" applyAlignment="1"/>
    <xf numFmtId="0" fontId="25" fillId="0" borderId="0" xfId="0" applyFont="1" applyFill="1"/>
    <xf numFmtId="0" fontId="19" fillId="0" borderId="0" xfId="0" applyFont="1" applyBorder="1" applyAlignment="1">
      <alignment vertical="top"/>
    </xf>
    <xf numFmtId="2" fontId="19" fillId="0" borderId="0" xfId="0" applyNumberFormat="1" applyFont="1" applyAlignment="1">
      <alignment vertical="top"/>
    </xf>
    <xf numFmtId="0" fontId="3" fillId="0" borderId="5" xfId="0" applyFont="1" applyBorder="1" applyAlignment="1">
      <alignment horizontal="center"/>
    </xf>
    <xf numFmtId="14" fontId="2" fillId="0" borderId="0" xfId="0" applyNumberFormat="1" applyFont="1" applyAlignment="1">
      <alignment vertical="top"/>
    </xf>
    <xf numFmtId="21" fontId="15" fillId="0" borderId="0" xfId="0" applyNumberFormat="1" applyFont="1" applyBorder="1" applyAlignment="1">
      <alignment horizontal="left"/>
    </xf>
    <xf numFmtId="1" fontId="19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/>
    </xf>
    <xf numFmtId="0" fontId="17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2" fillId="0" borderId="0" xfId="0" applyNumberFormat="1" applyFont="1" applyAlignment="1">
      <alignment vertical="top"/>
    </xf>
    <xf numFmtId="2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quotePrefix="1" applyFont="1" applyAlignment="1">
      <alignment horizontal="center"/>
    </xf>
    <xf numFmtId="165" fontId="15" fillId="0" borderId="0" xfId="1" quotePrefix="1" applyNumberFormat="1" applyFont="1" applyAlignment="1">
      <alignment horizontal="right" vertical="top"/>
    </xf>
    <xf numFmtId="0" fontId="15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41" fontId="15" fillId="0" borderId="0" xfId="1" applyNumberFormat="1" applyFont="1" applyAlignment="1">
      <alignment horizontal="right"/>
    </xf>
    <xf numFmtId="2" fontId="18" fillId="0" borderId="0" xfId="0" applyNumberFormat="1" applyFont="1" applyBorder="1" applyAlignment="1">
      <alignment horizontal="right"/>
    </xf>
    <xf numFmtId="166" fontId="15" fillId="0" borderId="0" xfId="0" applyNumberFormat="1" applyFont="1" applyAlignment="1">
      <alignment horizontal="left"/>
    </xf>
    <xf numFmtId="0" fontId="15" fillId="0" borderId="0" xfId="0" quotePrefix="1" applyFont="1"/>
    <xf numFmtId="0" fontId="26" fillId="0" borderId="0" xfId="0" applyFont="1"/>
    <xf numFmtId="0" fontId="15" fillId="0" borderId="0" xfId="0" applyFont="1" applyAlignment="1">
      <alignment vertical="center"/>
    </xf>
    <xf numFmtId="2" fontId="23" fillId="0" borderId="0" xfId="0" applyNumberFormat="1" applyFont="1" applyFill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quotePrefix="1" applyFont="1" applyAlignment="1">
      <alignment horizontal="center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2" fontId="23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9" fillId="0" borderId="0" xfId="3" applyFont="1" applyBorder="1" applyAlignment="1">
      <alignment horizontal="left"/>
    </xf>
    <xf numFmtId="0" fontId="17" fillId="0" borderId="0" xfId="3" applyFont="1" applyBorder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9" fillId="0" borderId="0" xfId="3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 wrapText="1"/>
    </xf>
    <xf numFmtId="1" fontId="17" fillId="0" borderId="0" xfId="0" applyNumberFormat="1" applyFont="1" applyBorder="1" applyAlignment="1">
      <alignment wrapText="1"/>
    </xf>
    <xf numFmtId="2" fontId="18" fillId="0" borderId="0" xfId="0" applyNumberFormat="1" applyFont="1" applyBorder="1"/>
    <xf numFmtId="0" fontId="27" fillId="0" borderId="0" xfId="0" applyFont="1" applyFill="1"/>
    <xf numFmtId="0" fontId="28" fillId="0" borderId="0" xfId="0" applyFont="1"/>
    <xf numFmtId="2" fontId="19" fillId="0" borderId="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0" fontId="19" fillId="0" borderId="5" xfId="0" applyFont="1" applyBorder="1"/>
    <xf numFmtId="0" fontId="17" fillId="0" borderId="0" xfId="0" quotePrefix="1" applyFont="1" applyBorder="1" applyAlignment="1">
      <alignment horizontal="left"/>
    </xf>
    <xf numFmtId="12" fontId="17" fillId="0" borderId="0" xfId="0" applyNumberFormat="1" applyFont="1" applyAlignment="1">
      <alignment horizontal="justify" vertical="top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9" fillId="0" borderId="3" xfId="0" applyFont="1" applyFill="1" applyBorder="1"/>
    <xf numFmtId="1" fontId="29" fillId="0" borderId="9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66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horizontal="center" wrapText="1"/>
    </xf>
    <xf numFmtId="0" fontId="30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165" fontId="3" fillId="0" borderId="0" xfId="1" quotePrefix="1" applyNumberFormat="1" applyFont="1" applyAlignment="1">
      <alignment horizontal="right" wrapText="1"/>
    </xf>
    <xf numFmtId="0" fontId="3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0" fontId="11" fillId="0" borderId="0" xfId="0" applyFont="1" applyAlignment="1">
      <alignment horizontal="right" vertical="top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2" fontId="18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12" fontId="17" fillId="0" borderId="0" xfId="0" applyNumberFormat="1" applyFont="1" applyAlignment="1">
      <alignment horizontal="justify" vertical="top" wrapText="1"/>
    </xf>
    <xf numFmtId="2" fontId="25" fillId="0" borderId="0" xfId="0" applyNumberFormat="1" applyFont="1" applyFill="1" applyBorder="1" applyAlignment="1">
      <alignment horizontal="center" vertical="top" wrapText="1"/>
    </xf>
    <xf numFmtId="2" fontId="25" fillId="0" borderId="0" xfId="0" applyNumberFormat="1" applyFont="1" applyFill="1" applyBorder="1" applyAlignment="1">
      <alignment horizontal="center" vertical="top"/>
    </xf>
    <xf numFmtId="2" fontId="21" fillId="0" borderId="0" xfId="0" applyNumberFormat="1" applyFont="1" applyAlignment="1">
      <alignment horizontal="center"/>
    </xf>
    <xf numFmtId="2" fontId="25" fillId="0" borderId="0" xfId="0" applyNumberFormat="1" applyFont="1" applyAlignment="1">
      <alignment horizontal="left"/>
    </xf>
    <xf numFmtId="2" fontId="15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25" fillId="0" borderId="0" xfId="0" applyNumberFormat="1" applyFont="1" applyFill="1" applyBorder="1" applyAlignment="1">
      <alignment horizontal="left" vertical="top"/>
    </xf>
    <xf numFmtId="2" fontId="21" fillId="0" borderId="0" xfId="0" applyNumberFormat="1" applyFont="1" applyBorder="1" applyAlignment="1">
      <alignment horizontal="center"/>
    </xf>
    <xf numFmtId="0" fontId="25" fillId="0" borderId="0" xfId="0" applyFont="1" applyFill="1" applyAlignment="1">
      <alignment horizontal="center" vertical="top"/>
    </xf>
    <xf numFmtId="2" fontId="23" fillId="0" borderId="0" xfId="0" applyNumberFormat="1" applyFont="1" applyAlignment="1">
      <alignment horizontal="center"/>
    </xf>
    <xf numFmtId="0" fontId="17" fillId="0" borderId="0" xfId="0" applyFont="1" applyBorder="1" applyAlignment="1">
      <alignment horizontal="center"/>
    </xf>
    <xf numFmtId="2" fontId="17" fillId="0" borderId="0" xfId="0" applyNumberFormat="1" applyFont="1" applyBorder="1" applyAlignment="1">
      <alignment horizontal="center" wrapText="1"/>
    </xf>
    <xf numFmtId="2" fontId="18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15"/>
      <c r="E3" s="27" t="s">
        <v>20</v>
      </c>
    </row>
    <row r="4" spans="2:8" ht="15">
      <c r="B4" s="16"/>
      <c r="C4" s="15"/>
      <c r="D4" s="15"/>
      <c r="E4" s="15"/>
    </row>
    <row r="5" spans="2:8" ht="15">
      <c r="B5" s="16" t="s">
        <v>21</v>
      </c>
      <c r="E5" s="16" t="s">
        <v>22</v>
      </c>
    </row>
    <row r="6" spans="2:8" ht="15">
      <c r="B6" s="16"/>
      <c r="E6" s="16"/>
    </row>
    <row r="7" spans="2:8" ht="15">
      <c r="B7" s="16" t="s">
        <v>23</v>
      </c>
      <c r="E7" s="16" t="s">
        <v>24</v>
      </c>
    </row>
    <row r="8" spans="2:8" ht="15">
      <c r="B8" s="16"/>
      <c r="E8" s="16"/>
    </row>
    <row r="9" spans="2:8" ht="15">
      <c r="B9" s="16" t="s">
        <v>25</v>
      </c>
      <c r="E9" s="16" t="s">
        <v>26</v>
      </c>
    </row>
    <row r="10" spans="2:8" ht="15">
      <c r="B10" s="16"/>
      <c r="E10" s="16"/>
    </row>
    <row r="11" spans="2:8" ht="15">
      <c r="B11" s="16" t="s">
        <v>27</v>
      </c>
      <c r="E11" s="16" t="s">
        <v>42</v>
      </c>
    </row>
    <row r="12" spans="2:8" ht="15">
      <c r="B12" s="16"/>
      <c r="D12" s="16"/>
      <c r="E12" s="16"/>
    </row>
    <row r="13" spans="2:8" ht="15.75" customHeight="1">
      <c r="B13" s="16" t="s">
        <v>28</v>
      </c>
      <c r="E13" s="212" t="s">
        <v>46</v>
      </c>
      <c r="F13" s="212"/>
      <c r="G13" s="212"/>
      <c r="H13" s="212"/>
    </row>
    <row r="14" spans="2:8" ht="15.75" customHeight="1">
      <c r="B14" s="16"/>
      <c r="D14" s="26"/>
      <c r="E14" s="212"/>
      <c r="F14" s="212"/>
      <c r="G14" s="212"/>
      <c r="H14" s="212"/>
    </row>
    <row r="15" spans="2:8" ht="15.75" customHeight="1">
      <c r="B15" s="16"/>
      <c r="D15" s="26"/>
      <c r="E15" s="212"/>
      <c r="F15" s="212"/>
      <c r="G15" s="212"/>
      <c r="H15" s="212"/>
    </row>
    <row r="16" spans="2:8" ht="15.75" customHeight="1">
      <c r="B16" s="16"/>
      <c r="D16" s="26"/>
      <c r="E16" s="212"/>
      <c r="F16" s="212"/>
      <c r="G16" s="212"/>
      <c r="H16" s="212"/>
    </row>
    <row r="17" spans="2:8" ht="15.75">
      <c r="B17" s="16"/>
      <c r="D17" s="17"/>
      <c r="E17" s="212"/>
      <c r="F17" s="212"/>
      <c r="G17" s="212"/>
      <c r="H17" s="212"/>
    </row>
    <row r="18" spans="2:8" ht="15.75">
      <c r="B18" s="16"/>
      <c r="D18" s="17"/>
      <c r="E18" s="17"/>
    </row>
    <row r="19" spans="2:8" ht="20.25">
      <c r="B19" s="16" t="s">
        <v>29</v>
      </c>
      <c r="E19" s="18" t="s">
        <v>30</v>
      </c>
    </row>
    <row r="20" spans="2:8" ht="15">
      <c r="B20" s="16"/>
      <c r="C20" s="15"/>
      <c r="D20" s="15"/>
      <c r="E20" s="15"/>
    </row>
    <row r="21" spans="2:8">
      <c r="B21" s="213" t="s">
        <v>43</v>
      </c>
      <c r="C21" s="214"/>
      <c r="D21" s="214"/>
      <c r="E21" s="214"/>
      <c r="F21" s="214"/>
      <c r="G21" s="214"/>
      <c r="H21" s="214"/>
    </row>
    <row r="22" spans="2:8">
      <c r="B22" s="214"/>
      <c r="C22" s="214"/>
      <c r="D22" s="214"/>
      <c r="E22" s="214"/>
      <c r="F22" s="214"/>
      <c r="G22" s="214"/>
      <c r="H22" s="214"/>
    </row>
    <row r="23" spans="2:8">
      <c r="B23" s="214"/>
      <c r="C23" s="214"/>
      <c r="D23" s="214"/>
      <c r="E23" s="214"/>
      <c r="F23" s="214"/>
      <c r="G23" s="214"/>
      <c r="H23" s="214"/>
    </row>
    <row r="24" spans="2:8">
      <c r="B24" s="214"/>
      <c r="C24" s="214"/>
      <c r="D24" s="214"/>
      <c r="E24" s="214"/>
      <c r="F24" s="214"/>
      <c r="G24" s="214"/>
      <c r="H24" s="214"/>
    </row>
    <row r="25" spans="2:8" ht="15">
      <c r="B25" s="16"/>
      <c r="C25" s="15"/>
      <c r="D25" s="15"/>
      <c r="E25" s="15"/>
    </row>
    <row r="26" spans="2:8" ht="12.75" customHeight="1">
      <c r="C26" s="15"/>
      <c r="D26" s="219" t="s">
        <v>47</v>
      </c>
      <c r="E26" s="219"/>
      <c r="F26" s="219"/>
    </row>
    <row r="27" spans="2:8" ht="20.25">
      <c r="B27" s="19"/>
      <c r="C27" s="15"/>
      <c r="D27" s="219"/>
      <c r="E27" s="219"/>
      <c r="F27" s="219"/>
    </row>
    <row r="28" spans="2:8">
      <c r="B28" s="213" t="s">
        <v>44</v>
      </c>
      <c r="C28" s="214"/>
      <c r="D28" s="214"/>
      <c r="E28" s="214"/>
      <c r="F28" s="214"/>
      <c r="G28" s="214"/>
      <c r="H28" s="214"/>
    </row>
    <row r="29" spans="2:8">
      <c r="B29" s="214"/>
      <c r="C29" s="214"/>
      <c r="D29" s="214"/>
      <c r="E29" s="214"/>
      <c r="F29" s="214"/>
      <c r="G29" s="214"/>
      <c r="H29" s="214"/>
    </row>
    <row r="30" spans="2:8">
      <c r="B30" s="214"/>
      <c r="C30" s="214"/>
      <c r="D30" s="214"/>
      <c r="E30" s="214"/>
      <c r="F30" s="214"/>
      <c r="G30" s="214"/>
      <c r="H30" s="214"/>
    </row>
    <row r="31" spans="2:8" ht="15">
      <c r="B31" s="16"/>
      <c r="C31" s="15"/>
      <c r="D31" s="15"/>
      <c r="E31" s="15"/>
    </row>
    <row r="32" spans="2:8" ht="12.75" customHeight="1">
      <c r="C32" s="209" t="s">
        <v>48</v>
      </c>
      <c r="D32" s="209"/>
      <c r="E32" s="209"/>
      <c r="F32" s="209"/>
    </row>
    <row r="33" spans="2:8" ht="20.25">
      <c r="B33" s="19"/>
      <c r="C33" s="209"/>
      <c r="D33" s="209"/>
      <c r="E33" s="209"/>
      <c r="F33" s="209"/>
    </row>
    <row r="34" spans="2:8">
      <c r="B34" s="213" t="s">
        <v>45</v>
      </c>
      <c r="C34" s="214"/>
      <c r="D34" s="214"/>
      <c r="E34" s="214"/>
      <c r="F34" s="214"/>
      <c r="G34" s="214"/>
      <c r="H34" s="214"/>
    </row>
    <row r="35" spans="2:8">
      <c r="B35" s="214"/>
      <c r="C35" s="214"/>
      <c r="D35" s="214"/>
      <c r="E35" s="214"/>
      <c r="F35" s="214"/>
      <c r="G35" s="214"/>
      <c r="H35" s="214"/>
    </row>
    <row r="36" spans="2:8">
      <c r="B36" s="214"/>
      <c r="C36" s="214"/>
      <c r="D36" s="214"/>
      <c r="E36" s="214"/>
      <c r="F36" s="214"/>
      <c r="G36" s="214"/>
      <c r="H36" s="214"/>
    </row>
    <row r="37" spans="2:8">
      <c r="B37" s="214"/>
      <c r="C37" s="214"/>
      <c r="D37" s="214"/>
      <c r="E37" s="214"/>
      <c r="F37" s="214"/>
      <c r="G37" s="214"/>
      <c r="H37" s="214"/>
    </row>
    <row r="38" spans="2:8">
      <c r="B38" s="214"/>
      <c r="C38" s="214"/>
      <c r="D38" s="214"/>
      <c r="E38" s="214"/>
      <c r="F38" s="214"/>
      <c r="G38" s="214"/>
      <c r="H38" s="214"/>
    </row>
    <row r="39" spans="2:8">
      <c r="B39" s="214"/>
      <c r="C39" s="214"/>
      <c r="D39" s="214"/>
      <c r="E39" s="214"/>
      <c r="F39" s="214"/>
      <c r="G39" s="214"/>
      <c r="H39" s="214"/>
    </row>
    <row r="40" spans="2:8">
      <c r="B40" s="214"/>
      <c r="C40" s="214"/>
      <c r="D40" s="214"/>
      <c r="E40" s="214"/>
      <c r="F40" s="214"/>
      <c r="G40" s="214"/>
      <c r="H40" s="214"/>
    </row>
    <row r="41" spans="2:8" ht="15">
      <c r="B41" s="16"/>
      <c r="C41" s="15"/>
      <c r="D41" s="15"/>
      <c r="E41" s="15"/>
    </row>
    <row r="42" spans="2:8" ht="15.75" thickBot="1">
      <c r="B42" s="16"/>
      <c r="C42" s="15"/>
      <c r="D42" s="15"/>
      <c r="E42" s="15"/>
    </row>
    <row r="43" spans="2:8" s="23" customFormat="1" ht="24.95" customHeight="1" thickBot="1">
      <c r="C43" s="20" t="s">
        <v>31</v>
      </c>
      <c r="D43" s="215" t="s">
        <v>32</v>
      </c>
      <c r="E43" s="216"/>
      <c r="F43" s="21" t="s">
        <v>37</v>
      </c>
      <c r="G43" s="22" t="s">
        <v>38</v>
      </c>
    </row>
    <row r="44" spans="2:8" s="23" customFormat="1" ht="24.95" customHeight="1">
      <c r="C44" s="25">
        <v>1</v>
      </c>
      <c r="D44" s="217" t="s">
        <v>33</v>
      </c>
      <c r="E44" s="218"/>
      <c r="F44" s="25" t="s">
        <v>39</v>
      </c>
      <c r="G44" s="25" t="s">
        <v>39</v>
      </c>
    </row>
    <row r="45" spans="2:8" s="23" customFormat="1" ht="24.95" customHeight="1">
      <c r="C45" s="24">
        <v>2</v>
      </c>
      <c r="D45" s="210" t="s">
        <v>34</v>
      </c>
      <c r="E45" s="211"/>
      <c r="F45" s="24" t="s">
        <v>40</v>
      </c>
      <c r="G45" s="24" t="s">
        <v>40</v>
      </c>
    </row>
    <row r="46" spans="2:8" s="23" customFormat="1" ht="24.95" customHeight="1">
      <c r="C46" s="24">
        <v>3</v>
      </c>
      <c r="D46" s="210" t="s">
        <v>35</v>
      </c>
      <c r="E46" s="211"/>
      <c r="F46" s="24" t="s">
        <v>41</v>
      </c>
      <c r="G46" s="24" t="s">
        <v>41</v>
      </c>
    </row>
    <row r="47" spans="2:8" ht="15">
      <c r="B47" s="16" t="s">
        <v>36</v>
      </c>
      <c r="C47" s="15"/>
      <c r="D47" s="15"/>
      <c r="E47" s="15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6"/>
  <sheetViews>
    <sheetView workbookViewId="0">
      <selection activeCell="D2" sqref="D2:J5"/>
    </sheetView>
  </sheetViews>
  <sheetFormatPr defaultRowHeight="15.75"/>
  <cols>
    <col min="1" max="7" width="9.140625" style="86"/>
    <col min="8" max="8" width="15.7109375" style="86" bestFit="1" customWidth="1"/>
    <col min="9" max="9" width="3" style="86" customWidth="1"/>
    <col min="10" max="10" width="4.140625" style="86" customWidth="1"/>
    <col min="11" max="11" width="3.42578125" style="86" customWidth="1"/>
    <col min="12" max="16384" width="9.140625" style="86"/>
  </cols>
  <sheetData>
    <row r="2" spans="2:12" ht="15.75" customHeight="1">
      <c r="C2" s="96" t="s">
        <v>6</v>
      </c>
      <c r="D2" s="220" t="s">
        <v>78</v>
      </c>
      <c r="E2" s="220"/>
      <c r="F2" s="220"/>
      <c r="G2" s="220"/>
      <c r="H2" s="220"/>
      <c r="I2" s="220"/>
      <c r="J2" s="220"/>
      <c r="K2" s="97"/>
      <c r="L2" s="97"/>
    </row>
    <row r="3" spans="2:12">
      <c r="D3" s="220"/>
      <c r="E3" s="220"/>
      <c r="F3" s="220"/>
      <c r="G3" s="220"/>
      <c r="H3" s="220"/>
      <c r="I3" s="220"/>
      <c r="J3" s="220"/>
      <c r="K3" s="97"/>
      <c r="L3" s="97"/>
    </row>
    <row r="4" spans="2:12">
      <c r="D4" s="220"/>
      <c r="E4" s="220"/>
      <c r="F4" s="220"/>
      <c r="G4" s="220"/>
      <c r="H4" s="220"/>
      <c r="I4" s="220"/>
      <c r="J4" s="220"/>
      <c r="K4" s="97"/>
      <c r="L4" s="97"/>
    </row>
    <row r="5" spans="2:12">
      <c r="D5" s="220"/>
      <c r="E5" s="220"/>
      <c r="F5" s="220"/>
      <c r="G5" s="220"/>
      <c r="H5" s="220"/>
      <c r="I5" s="220"/>
      <c r="J5" s="220"/>
      <c r="K5" s="98"/>
    </row>
    <row r="6" spans="2:12" ht="27">
      <c r="F6" s="99" t="s">
        <v>64</v>
      </c>
      <c r="I6" s="99"/>
    </row>
    <row r="7" spans="2:12" ht="16.5" thickBot="1"/>
    <row r="8" spans="2:12" s="104" customFormat="1" ht="16.5" thickBot="1">
      <c r="B8" s="100" t="s">
        <v>63</v>
      </c>
      <c r="C8" s="101" t="s">
        <v>62</v>
      </c>
      <c r="D8" s="102"/>
      <c r="E8" s="102"/>
      <c r="F8" s="102"/>
      <c r="G8" s="103"/>
      <c r="H8" s="223" t="s">
        <v>61</v>
      </c>
      <c r="I8" s="224"/>
      <c r="J8" s="225"/>
      <c r="K8" s="226"/>
    </row>
    <row r="10" spans="2:12">
      <c r="C10" s="42" t="s">
        <v>836</v>
      </c>
    </row>
    <row r="11" spans="2:12">
      <c r="B11" s="105" t="s">
        <v>60</v>
      </c>
      <c r="C11" s="106" t="s">
        <v>59</v>
      </c>
      <c r="D11" s="106"/>
      <c r="H11" s="107" t="e">
        <f>'(Abs)'!#REF!</f>
        <v>#REF!</v>
      </c>
      <c r="I11" s="108" t="s">
        <v>9</v>
      </c>
    </row>
    <row r="13" spans="2:12" s="109" customFormat="1">
      <c r="B13" s="86"/>
      <c r="C13" s="42" t="s">
        <v>835</v>
      </c>
      <c r="D13" s="86"/>
      <c r="E13" s="86"/>
      <c r="F13" s="86"/>
      <c r="G13" s="86"/>
      <c r="H13" s="86"/>
      <c r="I13" s="86"/>
      <c r="J13" s="86"/>
    </row>
    <row r="14" spans="2:12" s="109" customFormat="1">
      <c r="B14" s="105" t="s">
        <v>60</v>
      </c>
      <c r="C14" s="106" t="s">
        <v>59</v>
      </c>
      <c r="D14" s="106"/>
      <c r="E14" s="86"/>
      <c r="F14" s="86"/>
      <c r="G14" s="86"/>
      <c r="H14" s="107" t="e">
        <f>'(Abs)'!#REF!</f>
        <v>#REF!</v>
      </c>
      <c r="I14" s="108" t="s">
        <v>9</v>
      </c>
      <c r="J14" s="86"/>
    </row>
    <row r="15" spans="2:12" s="109" customFormat="1">
      <c r="B15" s="105"/>
      <c r="C15" s="106"/>
      <c r="D15" s="106"/>
      <c r="E15" s="86"/>
      <c r="F15" s="86"/>
      <c r="G15" s="86"/>
      <c r="H15" s="107"/>
      <c r="I15" s="108"/>
      <c r="J15" s="86"/>
    </row>
    <row r="16" spans="2:12" s="109" customFormat="1">
      <c r="B16" s="105"/>
      <c r="C16" s="106"/>
      <c r="D16" s="106"/>
      <c r="E16" s="86"/>
      <c r="F16" s="86"/>
      <c r="G16" s="86"/>
      <c r="H16" s="107"/>
      <c r="I16" s="108"/>
      <c r="J16" s="86"/>
    </row>
    <row r="17" spans="1:12" s="109" customFormat="1">
      <c r="B17" s="105"/>
      <c r="C17" s="42" t="s">
        <v>834</v>
      </c>
      <c r="D17" s="111"/>
      <c r="H17" s="112"/>
      <c r="I17" s="113"/>
    </row>
    <row r="18" spans="1:12" s="109" customFormat="1">
      <c r="B18" s="105" t="s">
        <v>58</v>
      </c>
      <c r="C18" s="106" t="s">
        <v>57</v>
      </c>
      <c r="D18" s="106"/>
      <c r="E18" s="86"/>
      <c r="F18" s="86"/>
      <c r="G18" s="86"/>
      <c r="H18" s="107">
        <f>'(Abs)'!J205</f>
        <v>0</v>
      </c>
      <c r="I18" s="108" t="s">
        <v>9</v>
      </c>
    </row>
    <row r="19" spans="1:12">
      <c r="A19" s="109"/>
      <c r="B19" s="105"/>
      <c r="C19" s="106"/>
      <c r="D19" s="111"/>
      <c r="E19" s="109"/>
      <c r="F19" s="109"/>
      <c r="G19" s="109"/>
      <c r="H19" s="112"/>
      <c r="I19" s="113"/>
      <c r="J19" s="109"/>
      <c r="K19" s="109"/>
      <c r="L19" s="109"/>
    </row>
    <row r="20" spans="1:12">
      <c r="A20" s="109"/>
      <c r="B20" s="114"/>
      <c r="D20" s="109"/>
      <c r="E20" s="109"/>
      <c r="F20" s="109"/>
      <c r="G20" s="109"/>
      <c r="H20" s="110"/>
      <c r="I20" s="113"/>
      <c r="J20" s="109"/>
      <c r="K20" s="109"/>
      <c r="L20" s="109"/>
    </row>
    <row r="21" spans="1:12">
      <c r="C21" s="42"/>
      <c r="I21" s="106"/>
    </row>
    <row r="22" spans="1:12">
      <c r="B22" s="105"/>
      <c r="C22" s="106"/>
      <c r="D22" s="106"/>
      <c r="H22" s="107"/>
      <c r="I22" s="113"/>
    </row>
    <row r="23" spans="1:12">
      <c r="B23" s="105"/>
      <c r="C23" s="106"/>
      <c r="D23" s="106"/>
      <c r="H23" s="107"/>
      <c r="I23" s="113"/>
    </row>
    <row r="24" spans="1:12">
      <c r="B24" s="105"/>
      <c r="C24" s="106"/>
      <c r="D24" s="106"/>
      <c r="H24" s="107"/>
      <c r="I24" s="108"/>
    </row>
    <row r="25" spans="1:12">
      <c r="B25" s="114"/>
      <c r="H25" s="115"/>
      <c r="I25" s="108"/>
    </row>
    <row r="26" spans="1:12">
      <c r="C26" s="42"/>
    </row>
    <row r="27" spans="1:12">
      <c r="B27" s="105"/>
      <c r="C27" s="106"/>
      <c r="D27" s="106"/>
      <c r="H27" s="107"/>
      <c r="I27" s="113"/>
    </row>
    <row r="28" spans="1:12">
      <c r="B28" s="114"/>
      <c r="H28" s="115"/>
      <c r="I28" s="108"/>
    </row>
    <row r="29" spans="1:12" s="109" customFormat="1">
      <c r="A29" s="86"/>
      <c r="B29" s="86"/>
      <c r="C29" s="42"/>
      <c r="D29" s="86"/>
      <c r="E29" s="86"/>
      <c r="F29" s="86"/>
      <c r="G29" s="86"/>
      <c r="H29" s="86"/>
      <c r="I29" s="86"/>
      <c r="J29" s="86"/>
      <c r="K29" s="86"/>
      <c r="L29" s="86"/>
    </row>
    <row r="30" spans="1:12" s="109" customFormat="1">
      <c r="A30" s="86"/>
      <c r="B30" s="105"/>
      <c r="C30" s="106"/>
      <c r="D30" s="106"/>
      <c r="E30" s="86"/>
      <c r="F30" s="86"/>
      <c r="G30" s="86"/>
      <c r="H30" s="107"/>
      <c r="I30" s="113"/>
      <c r="J30" s="86"/>
      <c r="K30" s="86"/>
      <c r="L30" s="86"/>
    </row>
    <row r="31" spans="1:12" s="109" customFormat="1">
      <c r="B31" s="105"/>
      <c r="C31" s="106"/>
      <c r="D31" s="106"/>
      <c r="E31" s="86"/>
      <c r="F31" s="86"/>
      <c r="G31" s="86"/>
      <c r="H31" s="107"/>
      <c r="I31" s="113"/>
    </row>
    <row r="32" spans="1:12" s="109" customFormat="1">
      <c r="B32" s="114"/>
      <c r="C32" s="86"/>
      <c r="D32" s="86"/>
      <c r="E32" s="86"/>
      <c r="F32" s="86"/>
      <c r="G32" s="86"/>
      <c r="H32" s="107"/>
      <c r="I32" s="113"/>
    </row>
    <row r="33" spans="1:12" s="109" customFormat="1">
      <c r="B33" s="86"/>
      <c r="C33" s="42"/>
      <c r="D33" s="86"/>
      <c r="E33" s="86"/>
      <c r="F33" s="86"/>
      <c r="G33" s="86"/>
      <c r="H33" s="86"/>
      <c r="I33" s="86"/>
    </row>
    <row r="34" spans="1:12" s="109" customFormat="1">
      <c r="B34" s="105"/>
      <c r="C34" s="106"/>
      <c r="D34" s="106"/>
      <c r="E34" s="86"/>
      <c r="F34" s="86"/>
      <c r="G34" s="86"/>
      <c r="H34" s="107"/>
      <c r="I34" s="113"/>
    </row>
    <row r="35" spans="1:12" s="109" customFormat="1" ht="16.5" thickBot="1">
      <c r="B35" s="114"/>
      <c r="C35" s="86"/>
      <c r="D35" s="86"/>
      <c r="E35" s="86"/>
      <c r="F35" s="86"/>
      <c r="G35" s="86"/>
      <c r="H35" s="107"/>
      <c r="I35" s="113"/>
    </row>
    <row r="36" spans="1:12" s="109" customFormat="1" ht="16.5" thickBot="1">
      <c r="F36" s="111"/>
      <c r="G36" s="96" t="s">
        <v>56</v>
      </c>
      <c r="H36" s="116" t="e">
        <f>SUM(H11:H22)</f>
        <v>#REF!</v>
      </c>
      <c r="I36" s="117" t="s">
        <v>9</v>
      </c>
      <c r="J36" s="118"/>
      <c r="K36" s="108"/>
    </row>
    <row r="37" spans="1:12" s="109" customFormat="1" ht="16.5" thickBot="1">
      <c r="F37" s="111"/>
      <c r="G37" s="96"/>
      <c r="H37" s="119"/>
      <c r="I37" s="108"/>
      <c r="J37" s="118"/>
      <c r="K37" s="108"/>
    </row>
    <row r="38" spans="1:12" s="109" customFormat="1" ht="16.5" thickBot="1">
      <c r="F38" s="111"/>
      <c r="G38" s="105" t="s">
        <v>55</v>
      </c>
      <c r="H38" s="120" t="e">
        <f>ROUND(SUM(H36),-3)</f>
        <v>#REF!</v>
      </c>
      <c r="I38" s="121" t="s">
        <v>9</v>
      </c>
      <c r="J38" s="118"/>
      <c r="K38" s="108"/>
    </row>
    <row r="39" spans="1:12" s="109" customFormat="1">
      <c r="F39" s="111"/>
      <c r="G39" s="105"/>
      <c r="H39" s="122"/>
      <c r="I39" s="123"/>
      <c r="J39" s="118"/>
      <c r="K39" s="108"/>
    </row>
    <row r="40" spans="1:12" s="109" customFormat="1">
      <c r="G40" s="114"/>
      <c r="H40" s="122"/>
      <c r="I40" s="123"/>
      <c r="J40" s="118"/>
      <c r="K40" s="108"/>
    </row>
    <row r="41" spans="1:12">
      <c r="A41" s="109"/>
      <c r="B41" s="109"/>
      <c r="C41" s="109"/>
      <c r="D41" s="109"/>
      <c r="E41" s="109"/>
      <c r="F41" s="109"/>
      <c r="G41" s="114"/>
      <c r="H41" s="122"/>
      <c r="I41" s="123"/>
      <c r="J41" s="118"/>
      <c r="K41" s="108"/>
      <c r="L41" s="109"/>
    </row>
    <row r="42" spans="1:12">
      <c r="B42" s="104"/>
      <c r="C42" s="124" t="s">
        <v>54</v>
      </c>
      <c r="D42" s="124"/>
      <c r="E42" s="125"/>
      <c r="G42" s="222" t="s">
        <v>53</v>
      </c>
      <c r="H42" s="222"/>
      <c r="I42" s="222"/>
      <c r="J42" s="222"/>
      <c r="K42" s="222"/>
      <c r="L42" s="109"/>
    </row>
    <row r="43" spans="1:12">
      <c r="A43" s="221" t="s">
        <v>65</v>
      </c>
      <c r="B43" s="221"/>
      <c r="C43" s="221"/>
      <c r="D43" s="221"/>
      <c r="E43" s="221"/>
      <c r="F43" s="126"/>
      <c r="G43" s="221" t="s">
        <v>66</v>
      </c>
      <c r="H43" s="221"/>
      <c r="I43" s="221"/>
      <c r="J43" s="221"/>
      <c r="K43" s="221"/>
    </row>
    <row r="44" spans="1:12">
      <c r="C44" s="126" t="s">
        <v>52</v>
      </c>
      <c r="D44" s="126"/>
      <c r="E44" s="126"/>
      <c r="G44" s="221" t="s">
        <v>52</v>
      </c>
      <c r="H44" s="221"/>
      <c r="I44" s="221"/>
      <c r="J44" s="221"/>
      <c r="K44" s="221"/>
    </row>
    <row r="46" spans="1:12">
      <c r="F46" s="127"/>
    </row>
  </sheetData>
  <mergeCells count="7">
    <mergeCell ref="D2:J5"/>
    <mergeCell ref="A43:E43"/>
    <mergeCell ref="G43:K43"/>
    <mergeCell ref="G42:K42"/>
    <mergeCell ref="G44:K44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95"/>
  <sheetViews>
    <sheetView tabSelected="1" view="pageBreakPreview" workbookViewId="0">
      <selection activeCell="C1" sqref="C1:K3"/>
    </sheetView>
  </sheetViews>
  <sheetFormatPr defaultRowHeight="15"/>
  <cols>
    <col min="1" max="1" width="5.7109375" style="37" customWidth="1"/>
    <col min="2" max="2" width="16.5703125" style="38" customWidth="1"/>
    <col min="3" max="3" width="20.7109375" style="38" customWidth="1"/>
    <col min="4" max="4" width="10.5703125" style="38" customWidth="1"/>
    <col min="5" max="5" width="4.85546875" style="38" customWidth="1"/>
    <col min="6" max="6" width="8" style="38" customWidth="1"/>
    <col min="7" max="7" width="0.85546875" style="38" customWidth="1"/>
    <col min="8" max="8" width="3.42578125" style="65" customWidth="1"/>
    <col min="9" max="9" width="8.140625" style="38" customWidth="1"/>
    <col min="10" max="10" width="12.7109375" style="38" customWidth="1"/>
    <col min="11" max="11" width="2.28515625" style="38" customWidth="1"/>
    <col min="12" max="12" width="4.140625" style="38" customWidth="1"/>
    <col min="13" max="13" width="11.28515625" style="38" bestFit="1" customWidth="1"/>
    <col min="14" max="16384" width="9.140625" style="38"/>
  </cols>
  <sheetData>
    <row r="1" spans="1:11" ht="15" customHeight="1">
      <c r="A1" s="37" t="s">
        <v>6</v>
      </c>
      <c r="B1" s="37"/>
      <c r="C1" s="227" t="s">
        <v>889</v>
      </c>
      <c r="D1" s="227"/>
      <c r="E1" s="227"/>
      <c r="F1" s="227"/>
      <c r="G1" s="227"/>
      <c r="H1" s="227"/>
      <c r="I1" s="227"/>
      <c r="J1" s="227"/>
      <c r="K1" s="227"/>
    </row>
    <row r="2" spans="1:11" ht="18" customHeight="1">
      <c r="C2" s="227"/>
      <c r="D2" s="227"/>
      <c r="E2" s="227"/>
      <c r="F2" s="227"/>
      <c r="G2" s="227"/>
      <c r="H2" s="227"/>
      <c r="I2" s="227"/>
      <c r="J2" s="227"/>
      <c r="K2" s="227"/>
    </row>
    <row r="3" spans="1:11" ht="25.5" customHeight="1"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5" customHeight="1">
      <c r="C4" s="183"/>
      <c r="D4" s="183"/>
      <c r="E4" s="183"/>
      <c r="F4" s="183"/>
      <c r="G4" s="183"/>
      <c r="H4" s="183"/>
      <c r="I4" s="183"/>
      <c r="J4" s="183"/>
      <c r="K4" s="183"/>
    </row>
    <row r="5" spans="1:11" ht="15" customHeight="1" thickBot="1">
      <c r="C5" s="37"/>
      <c r="D5" s="39" t="s">
        <v>850</v>
      </c>
      <c r="E5" s="40"/>
      <c r="F5" s="40"/>
      <c r="G5" s="41"/>
      <c r="H5" s="42"/>
    </row>
    <row r="6" spans="1:11" ht="15" customHeight="1" thickBot="1">
      <c r="A6" s="43" t="s">
        <v>5</v>
      </c>
      <c r="B6" s="44" t="s">
        <v>14</v>
      </c>
      <c r="C6" s="45"/>
      <c r="D6" s="46" t="s">
        <v>13</v>
      </c>
      <c r="E6" s="45"/>
      <c r="F6" s="45" t="s">
        <v>12</v>
      </c>
      <c r="G6" s="46"/>
      <c r="H6" s="47"/>
      <c r="I6" s="48" t="s">
        <v>10</v>
      </c>
      <c r="J6" s="45" t="s">
        <v>11</v>
      </c>
      <c r="K6" s="49"/>
    </row>
    <row r="7" spans="1:11" ht="18" customHeight="1">
      <c r="A7" s="50"/>
      <c r="B7" s="29" t="s">
        <v>69</v>
      </c>
      <c r="D7" s="50"/>
      <c r="E7" s="50"/>
      <c r="F7" s="50"/>
      <c r="G7" s="50"/>
      <c r="H7" s="51"/>
      <c r="I7" s="50"/>
      <c r="J7" s="50"/>
      <c r="K7" s="50"/>
    </row>
    <row r="8" spans="1:11" ht="14.1" customHeight="1">
      <c r="A8" s="50"/>
      <c r="B8" s="29" t="s">
        <v>49</v>
      </c>
      <c r="D8" s="50"/>
      <c r="E8" s="50"/>
      <c r="F8" s="50"/>
      <c r="G8" s="50"/>
      <c r="H8" s="51"/>
      <c r="I8" s="50"/>
      <c r="J8" s="50"/>
      <c r="K8" s="50"/>
    </row>
    <row r="9" spans="1:11" ht="14.1" customHeight="1">
      <c r="A9" s="52">
        <v>1</v>
      </c>
      <c r="B9" s="53" t="s">
        <v>706</v>
      </c>
      <c r="C9" s="53"/>
      <c r="D9" s="77"/>
      <c r="E9" s="78"/>
      <c r="F9" s="57"/>
      <c r="G9" s="60"/>
      <c r="H9" s="78"/>
      <c r="I9" s="60"/>
      <c r="J9" s="57"/>
      <c r="K9" s="78"/>
    </row>
    <row r="10" spans="1:11" ht="14.1" customHeight="1">
      <c r="A10" s="52"/>
      <c r="B10" s="53" t="s">
        <v>707</v>
      </c>
      <c r="C10" s="53"/>
      <c r="D10" s="77"/>
      <c r="E10" s="78"/>
      <c r="F10" s="57"/>
      <c r="G10" s="60"/>
      <c r="H10" s="78"/>
      <c r="I10" s="60"/>
      <c r="J10" s="57"/>
      <c r="K10" s="78"/>
    </row>
    <row r="11" spans="1:11" ht="14.1" customHeight="1">
      <c r="A11" s="52"/>
      <c r="B11" s="53" t="s">
        <v>708</v>
      </c>
      <c r="C11" s="53"/>
      <c r="D11" s="95"/>
      <c r="E11" s="56"/>
      <c r="F11" s="57"/>
      <c r="G11" s="58"/>
      <c r="H11" s="59"/>
      <c r="I11" s="60"/>
      <c r="J11" s="61"/>
      <c r="K11" s="62"/>
    </row>
    <row r="12" spans="1:11" ht="14.1" customHeight="1">
      <c r="A12" s="52"/>
      <c r="B12" s="53" t="s">
        <v>709</v>
      </c>
      <c r="C12" s="53"/>
      <c r="D12" s="95"/>
      <c r="E12" s="56"/>
      <c r="F12" s="57"/>
      <c r="G12" s="58"/>
      <c r="H12" s="59"/>
      <c r="I12" s="60"/>
      <c r="J12" s="61"/>
      <c r="K12" s="62"/>
    </row>
    <row r="13" spans="1:11" ht="14.1" customHeight="1">
      <c r="A13" s="52"/>
      <c r="B13" s="53" t="s">
        <v>710</v>
      </c>
      <c r="C13" s="53"/>
      <c r="D13" s="95"/>
      <c r="E13" s="56"/>
      <c r="F13" s="57"/>
      <c r="G13" s="58"/>
      <c r="H13" s="59"/>
      <c r="I13" s="60"/>
      <c r="J13" s="61"/>
      <c r="K13" s="62"/>
    </row>
    <row r="14" spans="1:11" ht="14.1" customHeight="1">
      <c r="A14" s="52"/>
      <c r="B14" s="53" t="s">
        <v>712</v>
      </c>
      <c r="C14" s="53"/>
      <c r="D14" s="95">
        <f>Mes!J34</f>
        <v>2673.75</v>
      </c>
      <c r="E14" s="56" t="s">
        <v>93</v>
      </c>
      <c r="F14" s="57">
        <v>3176</v>
      </c>
      <c r="G14" s="58" t="s">
        <v>7</v>
      </c>
      <c r="H14" s="59">
        <v>25</v>
      </c>
      <c r="I14" s="60" t="s">
        <v>711</v>
      </c>
      <c r="J14" s="61">
        <v>8492</v>
      </c>
      <c r="K14" s="62" t="s">
        <v>9</v>
      </c>
    </row>
    <row r="15" spans="1:11" ht="14.1" customHeight="1">
      <c r="A15" s="52"/>
      <c r="B15" s="53"/>
      <c r="C15" s="53"/>
      <c r="D15" s="228" t="s">
        <v>852</v>
      </c>
      <c r="E15" s="228"/>
      <c r="F15" s="228"/>
      <c r="G15" s="228"/>
      <c r="H15" s="228"/>
      <c r="I15" s="228"/>
      <c r="J15" s="228"/>
      <c r="K15" s="228"/>
    </row>
    <row r="16" spans="1:11" ht="14.1" customHeight="1">
      <c r="A16" s="52">
        <v>2</v>
      </c>
      <c r="B16" s="63" t="s">
        <v>713</v>
      </c>
      <c r="C16" s="64"/>
      <c r="D16" s="55"/>
      <c r="E16" s="56"/>
      <c r="F16" s="57"/>
      <c r="G16" s="58"/>
      <c r="H16" s="59"/>
      <c r="I16" s="60"/>
      <c r="J16" s="61"/>
      <c r="K16" s="62"/>
    </row>
    <row r="17" spans="1:11" ht="14.1" customHeight="1">
      <c r="A17" s="52"/>
      <c r="B17" s="63" t="s">
        <v>714</v>
      </c>
      <c r="C17" s="64"/>
    </row>
    <row r="18" spans="1:11" ht="14.1" customHeight="1">
      <c r="A18" s="52"/>
      <c r="B18" s="53" t="s">
        <v>715</v>
      </c>
      <c r="C18" s="53"/>
      <c r="D18" s="95">
        <f>Mes!J39</f>
        <v>5938.75</v>
      </c>
      <c r="E18" s="56" t="s">
        <v>93</v>
      </c>
      <c r="F18" s="57">
        <v>28672</v>
      </c>
      <c r="G18" s="58" t="s">
        <v>7</v>
      </c>
      <c r="H18" s="59">
        <v>5</v>
      </c>
      <c r="I18" s="60" t="s">
        <v>711</v>
      </c>
      <c r="J18" s="61">
        <v>170276</v>
      </c>
      <c r="K18" s="62" t="s">
        <v>9</v>
      </c>
    </row>
    <row r="19" spans="1:11" ht="14.1" customHeight="1">
      <c r="A19" s="52"/>
      <c r="B19" s="53"/>
      <c r="C19" s="53"/>
      <c r="D19" s="229" t="s">
        <v>853</v>
      </c>
      <c r="E19" s="229"/>
      <c r="F19" s="229"/>
      <c r="G19" s="229"/>
      <c r="H19" s="229"/>
      <c r="I19" s="229"/>
      <c r="J19" s="229"/>
      <c r="K19" s="229"/>
    </row>
    <row r="20" spans="1:11" ht="14.1" customHeight="1">
      <c r="A20" s="125">
        <v>3</v>
      </c>
      <c r="B20" s="86" t="s">
        <v>716</v>
      </c>
      <c r="C20" s="86"/>
      <c r="D20" s="105"/>
      <c r="E20" s="142"/>
      <c r="F20" s="142"/>
      <c r="G20" s="114"/>
      <c r="H20" s="86"/>
      <c r="I20" s="86"/>
      <c r="J20" s="86"/>
      <c r="K20" s="86"/>
    </row>
    <row r="21" spans="1:11" ht="14.1" customHeight="1">
      <c r="A21" s="125"/>
      <c r="B21" s="86" t="s">
        <v>717</v>
      </c>
      <c r="C21" s="86"/>
      <c r="D21" s="145">
        <f>Mes!J44</f>
        <v>891.25</v>
      </c>
      <c r="E21" s="146" t="s">
        <v>93</v>
      </c>
      <c r="F21" s="114">
        <v>9416</v>
      </c>
      <c r="G21" s="147" t="s">
        <v>7</v>
      </c>
      <c r="H21" s="146">
        <v>28</v>
      </c>
      <c r="I21" s="142" t="s">
        <v>718</v>
      </c>
      <c r="J21" s="148">
        <f>IF(MID(I21,1,2)=("P."),(ROUND(D21*((F21)+(H21/100)),)),IF(MID(I21,1,2)=("%o"),(ROUND(D21*(((F21)+(H21/100))/1000),)),IF(MID(I21,1,2)=("Ea"),(ROUND(D21*((F21)+(H21/100)),)),ROUND(D21*(((F21)+(H21/100))/100),))))</f>
        <v>83923</v>
      </c>
      <c r="K21" s="149" t="s">
        <v>9</v>
      </c>
    </row>
    <row r="22" spans="1:11" ht="14.1" customHeight="1">
      <c r="A22" s="125"/>
      <c r="B22" s="86"/>
      <c r="C22" s="86"/>
      <c r="D22" s="230" t="s">
        <v>854</v>
      </c>
      <c r="E22" s="230"/>
      <c r="F22" s="230"/>
      <c r="G22" s="230"/>
      <c r="H22" s="230"/>
      <c r="I22" s="230"/>
      <c r="J22" s="230"/>
      <c r="K22" s="230"/>
    </row>
    <row r="23" spans="1:11" ht="14.1" customHeight="1">
      <c r="A23" s="52">
        <v>4</v>
      </c>
      <c r="B23" s="53" t="s">
        <v>719</v>
      </c>
      <c r="C23" s="54"/>
      <c r="D23" s="55"/>
      <c r="E23" s="56"/>
      <c r="F23" s="57"/>
      <c r="G23" s="58"/>
      <c r="H23" s="59"/>
      <c r="I23" s="60"/>
      <c r="J23" s="61"/>
      <c r="K23" s="62"/>
    </row>
    <row r="24" spans="1:11" ht="14.1" customHeight="1">
      <c r="A24" s="52"/>
      <c r="B24" s="53" t="s">
        <v>720</v>
      </c>
      <c r="C24" s="54"/>
      <c r="D24" s="55"/>
      <c r="E24" s="56"/>
      <c r="F24" s="57"/>
      <c r="G24" s="58"/>
      <c r="H24" s="59"/>
      <c r="I24" s="60"/>
      <c r="J24" s="61"/>
      <c r="K24" s="62"/>
    </row>
    <row r="25" spans="1:11" ht="14.1" customHeight="1">
      <c r="A25" s="52"/>
      <c r="B25" s="53" t="s">
        <v>721</v>
      </c>
      <c r="C25" s="54"/>
      <c r="D25" s="55"/>
      <c r="E25" s="56"/>
      <c r="F25" s="57"/>
      <c r="G25" s="58"/>
      <c r="H25" s="59"/>
      <c r="I25" s="60"/>
      <c r="J25" s="61"/>
      <c r="K25" s="62"/>
    </row>
    <row r="26" spans="1:11" ht="14.1" customHeight="1">
      <c r="A26" s="52"/>
      <c r="B26" s="53" t="s">
        <v>722</v>
      </c>
      <c r="C26" s="54"/>
      <c r="D26" s="55"/>
      <c r="E26" s="56"/>
      <c r="F26" s="57"/>
      <c r="G26" s="58"/>
      <c r="H26" s="59"/>
      <c r="I26" s="60"/>
      <c r="J26" s="61"/>
      <c r="K26" s="62"/>
    </row>
    <row r="27" spans="1:11" ht="14.1" customHeight="1">
      <c r="A27" s="52"/>
      <c r="B27" s="53" t="s">
        <v>723</v>
      </c>
      <c r="C27" s="54"/>
      <c r="D27" s="55">
        <f>Mes!J65</f>
        <v>524.82735000000002</v>
      </c>
      <c r="E27" s="56" t="s">
        <v>93</v>
      </c>
      <c r="F27" s="57">
        <v>14268</v>
      </c>
      <c r="G27" s="58" t="s">
        <v>7</v>
      </c>
      <c r="H27" s="59">
        <v>53</v>
      </c>
      <c r="I27" s="60" t="s">
        <v>724</v>
      </c>
      <c r="J27" s="61">
        <f>IF(MID(I27,1,2)=("P."),(ROUND(D27*((F27)+(H27/100)),)),IF(MID(I27,1,2)=("%o"),(ROUND(D27*(((F27)+(H27/100))/1000),)),IF(MID(I27,1,2)=("Ea"),(ROUND(D27*((F27)+(H27/100)),)),ROUND(D27*(((F27)+(H27/100))/100),))))</f>
        <v>74885</v>
      </c>
      <c r="K27" s="62" t="s">
        <v>9</v>
      </c>
    </row>
    <row r="28" spans="1:11" ht="14.1" customHeight="1">
      <c r="A28" s="125"/>
      <c r="B28" s="86"/>
      <c r="C28" s="86"/>
      <c r="D28" s="231" t="s">
        <v>855</v>
      </c>
      <c r="E28" s="231"/>
      <c r="F28" s="231"/>
      <c r="G28" s="231"/>
      <c r="H28" s="231"/>
      <c r="I28" s="231"/>
      <c r="J28" s="231"/>
      <c r="K28" s="231"/>
    </row>
    <row r="29" spans="1:11" ht="14.1" customHeight="1">
      <c r="A29" s="125">
        <v>5</v>
      </c>
      <c r="B29" s="109" t="s">
        <v>725</v>
      </c>
      <c r="C29" s="109"/>
      <c r="D29" s="105"/>
      <c r="E29" s="150"/>
      <c r="F29" s="114"/>
      <c r="G29" s="86"/>
      <c r="H29" s="146"/>
      <c r="I29" s="142"/>
      <c r="J29" s="151"/>
      <c r="K29" s="146"/>
    </row>
    <row r="30" spans="1:11" ht="14.1" customHeight="1">
      <c r="A30" s="125"/>
      <c r="B30" s="109" t="s">
        <v>726</v>
      </c>
      <c r="C30" s="109"/>
      <c r="D30" s="105"/>
      <c r="E30" s="150"/>
      <c r="F30" s="114"/>
      <c r="G30" s="86"/>
      <c r="H30" s="146"/>
      <c r="I30" s="142"/>
      <c r="J30" s="151"/>
      <c r="K30" s="146"/>
    </row>
    <row r="31" spans="1:11" ht="14.1" customHeight="1">
      <c r="A31" s="125"/>
      <c r="B31" s="109" t="s">
        <v>727</v>
      </c>
      <c r="C31" s="109"/>
      <c r="D31" s="105"/>
      <c r="E31" s="150"/>
      <c r="F31" s="114"/>
      <c r="G31" s="86"/>
      <c r="H31" s="146"/>
      <c r="I31" s="142"/>
      <c r="J31" s="151"/>
      <c r="K31" s="146"/>
    </row>
    <row r="32" spans="1:11" ht="14.1" customHeight="1">
      <c r="A32" s="125"/>
      <c r="B32" s="109" t="s">
        <v>728</v>
      </c>
      <c r="C32" s="109"/>
      <c r="D32" s="105"/>
      <c r="E32" s="150"/>
      <c r="F32" s="114"/>
      <c r="G32" s="86"/>
      <c r="H32" s="146"/>
      <c r="I32" s="142"/>
      <c r="J32" s="151"/>
      <c r="K32" s="146"/>
    </row>
    <row r="33" spans="1:11" ht="14.1" customHeight="1">
      <c r="A33" s="125"/>
      <c r="B33" s="109" t="s">
        <v>729</v>
      </c>
      <c r="C33" s="109"/>
      <c r="D33" s="105"/>
      <c r="E33" s="150"/>
      <c r="F33" s="114"/>
      <c r="G33" s="86"/>
      <c r="H33" s="146"/>
      <c r="I33" s="142"/>
      <c r="J33" s="151"/>
      <c r="K33" s="146"/>
    </row>
    <row r="34" spans="1:11" ht="14.1" customHeight="1">
      <c r="A34" s="125"/>
      <c r="B34" s="109" t="s">
        <v>730</v>
      </c>
      <c r="C34" s="109"/>
      <c r="D34" s="105"/>
      <c r="E34" s="150"/>
      <c r="F34" s="114"/>
      <c r="G34" s="86"/>
      <c r="H34" s="146"/>
      <c r="I34" s="142"/>
      <c r="J34" s="151"/>
      <c r="K34" s="146"/>
    </row>
    <row r="35" spans="1:11" ht="14.1" customHeight="1">
      <c r="A35" s="125"/>
      <c r="B35" s="109" t="s">
        <v>731</v>
      </c>
      <c r="C35" s="109"/>
      <c r="D35" s="105"/>
      <c r="E35" s="150"/>
      <c r="F35" s="114"/>
      <c r="G35" s="86"/>
      <c r="H35" s="146"/>
      <c r="I35" s="142"/>
      <c r="J35" s="151"/>
      <c r="K35" s="146"/>
    </row>
    <row r="36" spans="1:11" ht="14.1" customHeight="1">
      <c r="A36" s="125"/>
      <c r="B36" s="109" t="s">
        <v>732</v>
      </c>
      <c r="C36" s="109"/>
      <c r="D36" s="105"/>
      <c r="E36" s="150"/>
      <c r="F36" s="114"/>
      <c r="G36" s="86"/>
      <c r="H36" s="146"/>
      <c r="I36" s="142"/>
      <c r="J36" s="151"/>
      <c r="K36" s="146"/>
    </row>
    <row r="37" spans="1:11" ht="14.1" customHeight="1">
      <c r="A37" s="125"/>
      <c r="B37" s="109" t="s">
        <v>733</v>
      </c>
      <c r="C37" s="109"/>
      <c r="D37" s="105"/>
      <c r="E37" s="150"/>
      <c r="F37" s="114"/>
      <c r="G37" s="86"/>
      <c r="H37" s="146"/>
      <c r="I37" s="142"/>
      <c r="J37" s="151"/>
      <c r="K37" s="146"/>
    </row>
    <row r="38" spans="1:11" ht="14.1" customHeight="1">
      <c r="A38" s="125"/>
      <c r="B38" s="109" t="s">
        <v>734</v>
      </c>
      <c r="C38" s="109"/>
      <c r="D38" s="105"/>
      <c r="E38" s="150"/>
      <c r="F38" s="114"/>
      <c r="G38" s="86"/>
      <c r="H38" s="146"/>
      <c r="I38" s="142"/>
      <c r="J38" s="151"/>
      <c r="K38" s="146"/>
    </row>
    <row r="39" spans="1:11" ht="14.1" customHeight="1">
      <c r="A39" s="125"/>
      <c r="B39" s="109" t="s">
        <v>735</v>
      </c>
      <c r="C39" s="109"/>
      <c r="D39" s="105"/>
      <c r="E39" s="150"/>
      <c r="F39" s="114"/>
      <c r="G39" s="86"/>
      <c r="H39" s="146"/>
      <c r="I39" s="142"/>
      <c r="J39" s="151"/>
      <c r="K39" s="146"/>
    </row>
    <row r="40" spans="1:11" ht="14.1" customHeight="1">
      <c r="A40" s="125"/>
      <c r="B40" s="109" t="s">
        <v>736</v>
      </c>
      <c r="C40" s="109"/>
      <c r="D40" s="105"/>
      <c r="E40" s="150"/>
      <c r="F40" s="114"/>
      <c r="G40" s="86"/>
      <c r="H40" s="146"/>
      <c r="I40" s="142"/>
      <c r="J40" s="151"/>
      <c r="K40" s="146"/>
    </row>
    <row r="41" spans="1:11" ht="14.1" customHeight="1">
      <c r="A41" s="125"/>
      <c r="B41" s="109" t="s">
        <v>737</v>
      </c>
      <c r="C41" s="109"/>
      <c r="D41" s="152">
        <f>Mes!J96</f>
        <v>2906.002</v>
      </c>
      <c r="E41" s="150" t="s">
        <v>93</v>
      </c>
      <c r="F41" s="114">
        <v>337</v>
      </c>
      <c r="G41" s="147" t="s">
        <v>7</v>
      </c>
      <c r="H41" s="153">
        <v>0</v>
      </c>
      <c r="I41" s="142" t="s">
        <v>738</v>
      </c>
      <c r="J41" s="148">
        <f>IF(MID(I41,1,2)=("P."),(ROUND(D41*((F41)+(H41/100)),)),IF(MID(I41,1,2)=("%o"),(ROUND(D41*(((F41)+(H41/100))/1000),)),IF(MID(I41,1,2)=("Ea"),(ROUND(D41*((F41)+(H41/100)),)),ROUND(D41*(((F41)+(H41/100))/100),))))</f>
        <v>979323</v>
      </c>
      <c r="K41" s="149" t="s">
        <v>9</v>
      </c>
    </row>
    <row r="42" spans="1:11" ht="14.1" customHeight="1">
      <c r="A42" s="125"/>
      <c r="B42" s="86"/>
      <c r="C42" s="86"/>
      <c r="D42" s="232" t="s">
        <v>856</v>
      </c>
      <c r="E42" s="232"/>
      <c r="F42" s="232"/>
      <c r="G42" s="232"/>
      <c r="H42" s="232"/>
      <c r="I42" s="232"/>
      <c r="J42" s="232"/>
      <c r="K42" s="232"/>
    </row>
    <row r="43" spans="1:11" ht="14.1" customHeight="1">
      <c r="A43" s="125">
        <v>6</v>
      </c>
      <c r="B43" s="86" t="s">
        <v>739</v>
      </c>
      <c r="C43" s="86"/>
      <c r="D43" s="105"/>
      <c r="E43" s="142"/>
      <c r="F43" s="142"/>
      <c r="G43" s="114"/>
      <c r="H43" s="86"/>
      <c r="I43" s="86"/>
      <c r="J43" s="148"/>
      <c r="K43" s="86"/>
    </row>
    <row r="44" spans="1:11" ht="14.1" customHeight="1">
      <c r="A44" s="125"/>
      <c r="B44" s="86" t="s">
        <v>740</v>
      </c>
      <c r="C44" s="86"/>
      <c r="D44" s="105"/>
      <c r="E44" s="142"/>
      <c r="F44" s="142"/>
      <c r="G44" s="114"/>
      <c r="H44" s="86"/>
      <c r="I44" s="86"/>
      <c r="J44" s="86"/>
      <c r="K44" s="86"/>
    </row>
    <row r="45" spans="1:11" ht="14.1" customHeight="1">
      <c r="A45" s="125"/>
      <c r="B45" s="86" t="s">
        <v>741</v>
      </c>
      <c r="C45" s="86"/>
      <c r="D45" s="105"/>
      <c r="E45" s="142"/>
      <c r="F45" s="142"/>
      <c r="G45" s="114"/>
      <c r="H45" s="86"/>
      <c r="I45" s="86"/>
      <c r="J45" s="86"/>
      <c r="K45" s="86"/>
    </row>
    <row r="46" spans="1:11" ht="14.1" customHeight="1">
      <c r="A46" s="125"/>
      <c r="B46" s="86" t="s">
        <v>742</v>
      </c>
      <c r="C46" s="86"/>
      <c r="D46" s="105"/>
      <c r="E46" s="142"/>
      <c r="F46" s="142"/>
      <c r="G46" s="114"/>
      <c r="H46" s="86"/>
      <c r="I46" s="86"/>
      <c r="J46" s="86"/>
      <c r="K46" s="86"/>
    </row>
    <row r="47" spans="1:11" ht="14.1" customHeight="1">
      <c r="A47" s="125"/>
      <c r="B47" s="86" t="s">
        <v>743</v>
      </c>
      <c r="C47" s="86"/>
      <c r="D47" s="105"/>
      <c r="E47" s="142"/>
      <c r="F47" s="142"/>
      <c r="G47" s="114"/>
      <c r="H47" s="86"/>
      <c r="I47" s="86"/>
      <c r="J47" s="86"/>
      <c r="K47" s="86"/>
    </row>
    <row r="48" spans="1:11" ht="14.1" customHeight="1">
      <c r="A48" s="125"/>
      <c r="B48" s="86" t="s">
        <v>744</v>
      </c>
      <c r="C48" s="86"/>
      <c r="D48" s="152">
        <f>Mes!J99</f>
        <v>245.26624999999999</v>
      </c>
      <c r="E48" s="146" t="s">
        <v>703</v>
      </c>
      <c r="F48" s="114">
        <v>5001</v>
      </c>
      <c r="G48" s="154" t="s">
        <v>7</v>
      </c>
      <c r="H48" s="146">
        <v>70</v>
      </c>
      <c r="I48" s="142" t="s">
        <v>745</v>
      </c>
      <c r="J48" s="148">
        <v>1226767</v>
      </c>
      <c r="K48" s="149" t="s">
        <v>9</v>
      </c>
    </row>
    <row r="49" spans="1:11" ht="14.1" customHeight="1">
      <c r="A49" s="125"/>
      <c r="B49" s="86"/>
      <c r="C49" s="86"/>
      <c r="D49" s="232" t="s">
        <v>857</v>
      </c>
      <c r="E49" s="232"/>
      <c r="F49" s="232"/>
      <c r="G49" s="232"/>
      <c r="H49" s="232"/>
      <c r="I49" s="232"/>
      <c r="J49" s="232"/>
      <c r="K49" s="232"/>
    </row>
    <row r="50" spans="1:11" ht="14.1" customHeight="1">
      <c r="A50" s="125">
        <v>7</v>
      </c>
      <c r="B50" s="86" t="s">
        <v>746</v>
      </c>
      <c r="C50" s="86"/>
      <c r="D50" s="145"/>
      <c r="E50" s="146"/>
      <c r="F50" s="114"/>
      <c r="G50" s="147"/>
      <c r="H50" s="146"/>
      <c r="I50" s="142"/>
      <c r="J50" s="148"/>
      <c r="K50" s="149"/>
    </row>
    <row r="51" spans="1:11" ht="14.1" customHeight="1">
      <c r="A51" s="125"/>
      <c r="B51" s="86" t="s">
        <v>747</v>
      </c>
      <c r="C51" s="86"/>
      <c r="D51" s="145"/>
      <c r="E51" s="146"/>
      <c r="F51" s="114"/>
      <c r="G51" s="147"/>
      <c r="H51" s="146"/>
      <c r="I51" s="142"/>
      <c r="J51" s="148"/>
      <c r="K51" s="149"/>
    </row>
    <row r="52" spans="1:11" ht="14.1" customHeight="1">
      <c r="A52" s="125"/>
      <c r="B52" s="86" t="s">
        <v>748</v>
      </c>
      <c r="C52" s="86"/>
      <c r="D52" s="152">
        <f>Mes!J103</f>
        <v>1782.6666666666667</v>
      </c>
      <c r="E52" s="146" t="s">
        <v>93</v>
      </c>
      <c r="F52" s="114">
        <v>1512</v>
      </c>
      <c r="G52" s="154" t="s">
        <v>7</v>
      </c>
      <c r="H52" s="146">
        <v>50</v>
      </c>
      <c r="I52" s="60" t="s">
        <v>711</v>
      </c>
      <c r="J52" s="148">
        <v>2696</v>
      </c>
      <c r="K52" s="149" t="s">
        <v>9</v>
      </c>
    </row>
    <row r="53" spans="1:11" ht="14.1" customHeight="1">
      <c r="A53" s="125"/>
      <c r="B53" s="86"/>
      <c r="C53" s="86"/>
      <c r="D53" s="233" t="s">
        <v>858</v>
      </c>
      <c r="E53" s="233"/>
      <c r="F53" s="233"/>
      <c r="G53" s="233"/>
      <c r="H53" s="233"/>
      <c r="I53" s="233"/>
      <c r="J53" s="233"/>
      <c r="K53" s="233"/>
    </row>
    <row r="54" spans="1:11" ht="14.1" customHeight="1">
      <c r="A54" s="52">
        <v>8</v>
      </c>
      <c r="B54" s="156" t="s">
        <v>749</v>
      </c>
      <c r="C54" s="53"/>
      <c r="D54" s="95"/>
      <c r="E54" s="56"/>
      <c r="F54" s="57"/>
      <c r="G54" s="58"/>
      <c r="H54" s="59"/>
      <c r="I54" s="60"/>
      <c r="J54" s="61"/>
      <c r="K54" s="62"/>
    </row>
    <row r="55" spans="1:11" ht="14.1" customHeight="1">
      <c r="A55" s="52"/>
      <c r="B55" s="156" t="s">
        <v>750</v>
      </c>
      <c r="C55" s="53"/>
      <c r="D55" s="95"/>
      <c r="E55" s="56"/>
      <c r="F55" s="57"/>
      <c r="G55" s="58"/>
      <c r="H55" s="59"/>
      <c r="I55" s="60"/>
      <c r="J55" s="61"/>
      <c r="K55" s="62"/>
    </row>
    <row r="56" spans="1:11" ht="14.1" customHeight="1">
      <c r="A56" s="52"/>
      <c r="B56" s="38" t="s">
        <v>751</v>
      </c>
      <c r="C56" s="53"/>
      <c r="D56" s="95"/>
      <c r="E56" s="56"/>
      <c r="F56" s="57"/>
      <c r="G56" s="58"/>
      <c r="H56" s="59"/>
      <c r="I56" s="60"/>
      <c r="J56" s="61"/>
      <c r="K56" s="62"/>
    </row>
    <row r="57" spans="1:11" ht="14.1" customHeight="1">
      <c r="A57" s="52"/>
      <c r="B57" s="86" t="s">
        <v>752</v>
      </c>
      <c r="C57" s="53"/>
      <c r="D57" s="95"/>
      <c r="E57" s="56"/>
      <c r="F57" s="57"/>
      <c r="G57" s="58"/>
      <c r="H57" s="59"/>
      <c r="I57" s="60"/>
      <c r="J57" s="61"/>
      <c r="K57" s="62"/>
    </row>
    <row r="58" spans="1:11" ht="14.1" customHeight="1">
      <c r="A58" s="52"/>
      <c r="B58" s="86" t="s">
        <v>753</v>
      </c>
      <c r="C58" s="53"/>
      <c r="D58" s="95"/>
      <c r="E58" s="56"/>
      <c r="F58" s="57"/>
      <c r="G58" s="58"/>
      <c r="H58" s="59"/>
      <c r="I58" s="60"/>
      <c r="J58" s="61"/>
      <c r="K58" s="62"/>
    </row>
    <row r="59" spans="1:11" ht="14.1" customHeight="1">
      <c r="A59" s="52"/>
      <c r="B59" s="86" t="s">
        <v>754</v>
      </c>
      <c r="C59" s="53"/>
      <c r="D59" s="95"/>
      <c r="E59" s="56"/>
      <c r="F59" s="57"/>
      <c r="G59" s="58"/>
      <c r="H59" s="59"/>
      <c r="I59" s="60"/>
      <c r="J59" s="61"/>
      <c r="K59" s="62"/>
    </row>
    <row r="60" spans="1:11" ht="14.1" customHeight="1">
      <c r="A60" s="52"/>
      <c r="B60" s="155" t="s">
        <v>755</v>
      </c>
      <c r="C60" s="53"/>
      <c r="D60" s="152">
        <v>2489</v>
      </c>
      <c r="E60" s="146" t="s">
        <v>93</v>
      </c>
      <c r="F60" s="114">
        <v>16233</v>
      </c>
      <c r="G60" s="154" t="s">
        <v>7</v>
      </c>
      <c r="H60" s="146">
        <v>60</v>
      </c>
      <c r="I60" s="60" t="s">
        <v>711</v>
      </c>
      <c r="J60" s="148">
        <v>40405</v>
      </c>
      <c r="K60" s="149" t="s">
        <v>9</v>
      </c>
    </row>
    <row r="61" spans="1:11" ht="14.1" customHeight="1">
      <c r="A61" s="52"/>
      <c r="B61" s="155"/>
      <c r="C61" s="53"/>
      <c r="D61" s="234" t="s">
        <v>859</v>
      </c>
      <c r="E61" s="234"/>
      <c r="F61" s="234"/>
      <c r="G61" s="234"/>
      <c r="H61" s="234"/>
      <c r="I61" s="234"/>
      <c r="J61" s="234"/>
      <c r="K61" s="234"/>
    </row>
    <row r="62" spans="1:11" ht="14.1" customHeight="1">
      <c r="A62" s="52">
        <v>9</v>
      </c>
      <c r="B62" s="86" t="s">
        <v>756</v>
      </c>
      <c r="C62" s="53"/>
      <c r="D62" s="95"/>
      <c r="E62" s="56"/>
      <c r="F62" s="57"/>
      <c r="G62" s="58"/>
      <c r="H62" s="59"/>
      <c r="I62" s="60"/>
      <c r="J62" s="61"/>
      <c r="K62" s="62"/>
    </row>
    <row r="63" spans="1:11" ht="14.1" customHeight="1">
      <c r="A63" s="52"/>
      <c r="B63" s="86" t="s">
        <v>757</v>
      </c>
      <c r="C63" s="53"/>
      <c r="D63" s="95"/>
      <c r="E63" s="56"/>
      <c r="F63" s="57"/>
      <c r="G63" s="58"/>
      <c r="H63" s="59"/>
      <c r="I63" s="60"/>
      <c r="J63" s="61"/>
      <c r="K63" s="62"/>
    </row>
    <row r="64" spans="1:11" ht="14.1" customHeight="1">
      <c r="A64" s="52"/>
      <c r="B64" s="155" t="s">
        <v>758</v>
      </c>
      <c r="C64" s="53"/>
      <c r="D64" s="152">
        <f>Mes!J131</f>
        <v>625.35</v>
      </c>
      <c r="E64" s="146" t="s">
        <v>93</v>
      </c>
      <c r="F64" s="114">
        <v>8694</v>
      </c>
      <c r="G64" s="154" t="s">
        <v>7</v>
      </c>
      <c r="H64" s="146">
        <v>95</v>
      </c>
      <c r="I64" s="60" t="s">
        <v>724</v>
      </c>
      <c r="J64" s="148">
        <f>IF(MID(I64,1,2)=("P."),(ROUND(D64*((F64)+(H64/100)),)),IF(MID(I64,1,2)=("%o"),(ROUND(D64*(((F64)+(H64/100))/1000),)),IF(MID(I64,1,2)=("Ea"),(ROUND(D64*((F64)+(H64/100)),)),ROUND(D64*(((F64)+(H64/100))/100),))))</f>
        <v>54374</v>
      </c>
      <c r="K64" s="149" t="s">
        <v>9</v>
      </c>
    </row>
    <row r="65" spans="1:11" ht="14.1" customHeight="1">
      <c r="A65" s="52"/>
      <c r="B65" s="155"/>
      <c r="C65" s="53"/>
      <c r="D65" s="235" t="s">
        <v>861</v>
      </c>
      <c r="E65" s="235"/>
      <c r="F65" s="235"/>
      <c r="G65" s="235"/>
      <c r="H65" s="235"/>
      <c r="I65" s="235"/>
      <c r="J65" s="235"/>
      <c r="K65" s="235"/>
    </row>
    <row r="66" spans="1:11" ht="14.1" customHeight="1">
      <c r="A66" s="143">
        <v>10</v>
      </c>
      <c r="B66" s="104" t="s">
        <v>759</v>
      </c>
      <c r="C66" s="104"/>
      <c r="D66" s="157"/>
      <c r="E66" s="158"/>
      <c r="F66" s="159"/>
      <c r="G66" s="160"/>
      <c r="H66" s="161"/>
      <c r="I66" s="162"/>
      <c r="J66" s="163"/>
      <c r="K66" s="164"/>
    </row>
    <row r="67" spans="1:11" ht="14.1" customHeight="1">
      <c r="A67" s="143"/>
      <c r="B67" s="104" t="s">
        <v>760</v>
      </c>
      <c r="C67" s="104"/>
      <c r="D67" s="157"/>
      <c r="E67" s="158"/>
      <c r="F67" s="159"/>
      <c r="G67" s="160"/>
      <c r="H67" s="161"/>
      <c r="I67" s="162"/>
      <c r="J67" s="163"/>
      <c r="K67" s="164"/>
    </row>
    <row r="68" spans="1:11" ht="14.1" customHeight="1">
      <c r="A68" s="143"/>
      <c r="B68" s="104" t="s">
        <v>761</v>
      </c>
      <c r="C68" s="104"/>
      <c r="D68" s="157"/>
      <c r="E68" s="158"/>
      <c r="F68" s="159"/>
      <c r="G68" s="160"/>
      <c r="H68" s="161"/>
      <c r="I68" s="162"/>
      <c r="J68" s="163"/>
      <c r="K68" s="164"/>
    </row>
    <row r="69" spans="1:11" ht="14.1" customHeight="1">
      <c r="A69" s="143"/>
      <c r="B69" s="104" t="s">
        <v>762</v>
      </c>
      <c r="C69" s="104"/>
      <c r="D69" s="165">
        <f>Mes!J134</f>
        <v>68</v>
      </c>
      <c r="E69" s="158" t="s">
        <v>93</v>
      </c>
      <c r="F69" s="159">
        <v>2548</v>
      </c>
      <c r="G69" s="160" t="s">
        <v>7</v>
      </c>
      <c r="H69" s="158">
        <v>29</v>
      </c>
      <c r="I69" s="162" t="s">
        <v>71</v>
      </c>
      <c r="J69" s="163">
        <f>IF(MID(I69,1,2)=("P."),(ROUND(D69*((F69)+(H69/100)),)),IF(MID(I69,1,2)=("%o"),(ROUND(D69*(((F69)+(H69/100))/1000),)),IF(MID(I69,1,2)=("Ea"),(ROUND(D69*((F69)+(H69/100)),)),ROUND(D69*(((F69)+(H69/100))/100),))))</f>
        <v>1733</v>
      </c>
      <c r="K69" s="164" t="s">
        <v>9</v>
      </c>
    </row>
    <row r="70" spans="1:11" ht="14.1" customHeight="1">
      <c r="A70" s="52"/>
      <c r="B70" s="54"/>
      <c r="C70" s="54"/>
      <c r="D70" s="236" t="s">
        <v>860</v>
      </c>
      <c r="E70" s="236"/>
      <c r="F70" s="236"/>
      <c r="G70" s="236"/>
      <c r="H70" s="236"/>
      <c r="I70" s="236"/>
      <c r="J70" s="236"/>
      <c r="K70" s="236"/>
    </row>
    <row r="71" spans="1:11" ht="14.1" customHeight="1">
      <c r="A71" s="52">
        <v>11</v>
      </c>
      <c r="B71" s="38" t="s">
        <v>76</v>
      </c>
      <c r="C71" s="53"/>
      <c r="D71" s="77"/>
      <c r="E71" s="78"/>
      <c r="F71" s="57"/>
      <c r="G71" s="60"/>
      <c r="H71" s="78"/>
      <c r="I71" s="60"/>
      <c r="J71" s="57"/>
      <c r="K71" s="78"/>
    </row>
    <row r="72" spans="1:11" ht="14.1" customHeight="1">
      <c r="A72" s="52"/>
      <c r="B72" s="38" t="s">
        <v>77</v>
      </c>
      <c r="C72" s="53"/>
      <c r="D72" s="165">
        <f>Mes!J137</f>
        <v>633</v>
      </c>
      <c r="E72" s="158" t="s">
        <v>93</v>
      </c>
      <c r="F72" s="159">
        <v>3015</v>
      </c>
      <c r="G72" s="160" t="s">
        <v>7</v>
      </c>
      <c r="H72" s="158">
        <v>76</v>
      </c>
      <c r="I72" s="162" t="s">
        <v>71</v>
      </c>
      <c r="J72" s="163">
        <f>IF(MID(I72,1,2)=("P."),(ROUND(D72*((F72)+(H72/100)),)),IF(MID(I72,1,2)=("%o"),(ROUND(D72*(((F72)+(H72/100))/1000),)),IF(MID(I72,1,2)=("Ea"),(ROUND(D72*((F72)+(H72/100)),)),ROUND(D72*(((F72)+(H72/100))/100),))))</f>
        <v>19090</v>
      </c>
      <c r="K72" s="164" t="s">
        <v>9</v>
      </c>
    </row>
    <row r="73" spans="1:11" ht="14.1" customHeight="1">
      <c r="A73" s="52"/>
      <c r="C73" s="53"/>
      <c r="D73" s="237" t="s">
        <v>862</v>
      </c>
      <c r="E73" s="237"/>
      <c r="F73" s="237"/>
      <c r="G73" s="237"/>
      <c r="H73" s="237"/>
      <c r="I73" s="237"/>
      <c r="J73" s="237"/>
      <c r="K73" s="237"/>
    </row>
    <row r="74" spans="1:11" ht="14.1" customHeight="1">
      <c r="A74" s="50"/>
      <c r="B74" s="53"/>
      <c r="C74" s="53"/>
      <c r="D74" s="55"/>
      <c r="E74" s="79"/>
      <c r="F74" s="79"/>
      <c r="G74" s="79"/>
      <c r="H74" s="73"/>
      <c r="I74" s="80" t="s">
        <v>50</v>
      </c>
      <c r="J74" s="81">
        <f>SUM(J14:J72)</f>
        <v>2661964</v>
      </c>
      <c r="K74" s="82" t="s">
        <v>9</v>
      </c>
    </row>
    <row r="75" spans="1:11" ht="14.1" customHeight="1" thickBot="1">
      <c r="A75" s="50"/>
      <c r="B75" s="68"/>
      <c r="C75" s="79"/>
      <c r="D75" s="79" t="s">
        <v>851</v>
      </c>
      <c r="E75" s="66"/>
      <c r="F75" s="57"/>
      <c r="G75" s="58"/>
      <c r="H75" s="59"/>
      <c r="I75" s="57"/>
      <c r="J75" s="61"/>
      <c r="K75" s="62"/>
    </row>
    <row r="76" spans="1:11" ht="14.1" customHeight="1" thickBot="1">
      <c r="A76" s="50"/>
      <c r="B76" s="68"/>
      <c r="C76" s="79"/>
      <c r="D76" s="79"/>
      <c r="E76" s="66"/>
      <c r="F76" s="57"/>
      <c r="G76" s="58"/>
      <c r="H76" s="59"/>
      <c r="I76" s="83" t="s">
        <v>19</v>
      </c>
      <c r="J76" s="84"/>
      <c r="K76" s="85"/>
    </row>
    <row r="77" spans="1:11" ht="14.1" customHeight="1">
      <c r="A77" s="50"/>
      <c r="B77" s="68"/>
      <c r="C77" s="79"/>
      <c r="D77" s="79"/>
      <c r="E77" s="66"/>
      <c r="F77" s="57"/>
      <c r="G77" s="58"/>
      <c r="H77" s="59"/>
      <c r="I77" s="83"/>
      <c r="J77" s="91"/>
      <c r="K77" s="67"/>
    </row>
    <row r="78" spans="1:11" ht="14.1" customHeight="1">
      <c r="A78" s="50"/>
      <c r="B78" s="29" t="s">
        <v>70</v>
      </c>
      <c r="C78" s="50"/>
      <c r="D78" s="50"/>
      <c r="E78" s="50"/>
      <c r="F78" s="50"/>
      <c r="G78" s="50"/>
      <c r="H78" s="51"/>
      <c r="I78" s="50"/>
      <c r="J78" s="50"/>
      <c r="K78" s="50"/>
    </row>
    <row r="79" spans="1:11" ht="14.1" customHeight="1">
      <c r="A79" s="50"/>
      <c r="B79" s="29" t="s">
        <v>562</v>
      </c>
      <c r="C79" s="50"/>
      <c r="D79" s="50"/>
      <c r="E79" s="65"/>
      <c r="F79" s="71"/>
      <c r="G79" s="72"/>
      <c r="H79" s="73"/>
      <c r="I79" s="74"/>
      <c r="J79" s="75"/>
      <c r="K79" s="76"/>
    </row>
    <row r="80" spans="1:11" ht="14.1" customHeight="1">
      <c r="A80" s="125">
        <v>1</v>
      </c>
      <c r="B80" s="86" t="s">
        <v>739</v>
      </c>
      <c r="C80" s="86"/>
      <c r="D80" s="105"/>
      <c r="E80" s="142"/>
      <c r="F80" s="142"/>
      <c r="G80" s="114"/>
      <c r="H80" s="86"/>
      <c r="I80" s="86"/>
      <c r="J80" s="148"/>
      <c r="K80" s="86"/>
    </row>
    <row r="81" spans="1:11" ht="14.1" customHeight="1">
      <c r="A81" s="125"/>
      <c r="B81" s="86" t="s">
        <v>740</v>
      </c>
      <c r="C81" s="86"/>
      <c r="D81" s="105"/>
      <c r="E81" s="142"/>
      <c r="F81" s="142"/>
      <c r="G81" s="114"/>
      <c r="H81" s="86"/>
      <c r="I81" s="86"/>
      <c r="J81" s="86"/>
      <c r="K81" s="86"/>
    </row>
    <row r="82" spans="1:11" ht="14.1" customHeight="1">
      <c r="A82" s="125"/>
      <c r="B82" s="86" t="s">
        <v>741</v>
      </c>
      <c r="C82" s="86"/>
      <c r="D82" s="105"/>
      <c r="E82" s="142"/>
      <c r="F82" s="142"/>
      <c r="G82" s="114"/>
      <c r="H82" s="86"/>
      <c r="I82" s="86"/>
      <c r="J82" s="86"/>
      <c r="K82" s="86"/>
    </row>
    <row r="83" spans="1:11" ht="14.1" customHeight="1">
      <c r="A83" s="125"/>
      <c r="B83" s="86" t="s">
        <v>742</v>
      </c>
      <c r="C83" s="86"/>
      <c r="D83" s="105"/>
      <c r="E83" s="142"/>
      <c r="F83" s="142"/>
      <c r="G83" s="114"/>
      <c r="H83" s="86"/>
      <c r="I83" s="86"/>
      <c r="J83" s="86"/>
      <c r="K83" s="86"/>
    </row>
    <row r="84" spans="1:11" ht="14.1" customHeight="1">
      <c r="A84" s="125"/>
      <c r="B84" s="86" t="s">
        <v>743</v>
      </c>
      <c r="C84" s="86"/>
      <c r="D84" s="105"/>
      <c r="E84" s="142"/>
      <c r="F84" s="142"/>
      <c r="G84" s="114"/>
      <c r="H84" s="86"/>
      <c r="I84" s="86"/>
      <c r="J84" s="86"/>
      <c r="K84" s="86"/>
    </row>
    <row r="85" spans="1:11" ht="14.1" customHeight="1">
      <c r="A85" s="125"/>
      <c r="B85" s="86" t="s">
        <v>744</v>
      </c>
      <c r="C85" s="86"/>
      <c r="D85" s="152">
        <f>Mes!J141</f>
        <v>222.97348214285714</v>
      </c>
      <c r="E85" s="146" t="s">
        <v>703</v>
      </c>
      <c r="F85" s="114">
        <v>5001</v>
      </c>
      <c r="G85" s="154" t="s">
        <v>7</v>
      </c>
      <c r="H85" s="146">
        <v>70</v>
      </c>
      <c r="I85" s="142" t="s">
        <v>745</v>
      </c>
      <c r="J85" s="148">
        <v>1115229</v>
      </c>
      <c r="K85" s="149" t="s">
        <v>9</v>
      </c>
    </row>
    <row r="86" spans="1:11" ht="14.1" customHeight="1">
      <c r="A86" s="50"/>
      <c r="B86" s="29"/>
      <c r="C86" s="50"/>
      <c r="D86" s="238"/>
      <c r="E86" s="238"/>
      <c r="F86" s="238"/>
      <c r="G86" s="238"/>
      <c r="H86" s="238"/>
      <c r="I86" s="238"/>
      <c r="J86" s="238"/>
      <c r="K86" s="238"/>
    </row>
    <row r="87" spans="1:11" ht="14.1" customHeight="1">
      <c r="A87" s="125">
        <v>2</v>
      </c>
      <c r="B87" s="109" t="s">
        <v>725</v>
      </c>
      <c r="C87" s="109"/>
      <c r="D87" s="105"/>
      <c r="E87" s="150"/>
      <c r="F87" s="114"/>
      <c r="G87" s="86"/>
      <c r="H87" s="146"/>
      <c r="I87" s="142"/>
      <c r="J87" s="151"/>
      <c r="K87" s="146"/>
    </row>
    <row r="88" spans="1:11" ht="14.1" customHeight="1">
      <c r="A88" s="125"/>
      <c r="B88" s="109" t="s">
        <v>726</v>
      </c>
      <c r="C88" s="109"/>
      <c r="D88" s="105"/>
      <c r="E88" s="150"/>
      <c r="F88" s="114"/>
      <c r="G88" s="86"/>
      <c r="H88" s="146"/>
      <c r="I88" s="142"/>
      <c r="J88" s="151"/>
      <c r="K88" s="146"/>
    </row>
    <row r="89" spans="1:11" ht="14.1" customHeight="1">
      <c r="A89" s="125"/>
      <c r="B89" s="109" t="s">
        <v>727</v>
      </c>
      <c r="C89" s="109"/>
      <c r="D89" s="105"/>
      <c r="E89" s="150"/>
      <c r="F89" s="114"/>
      <c r="G89" s="86"/>
      <c r="H89" s="146"/>
      <c r="I89" s="142"/>
      <c r="J89" s="151"/>
      <c r="K89" s="146"/>
    </row>
    <row r="90" spans="1:11" ht="14.1" customHeight="1">
      <c r="A90" s="125"/>
      <c r="B90" s="109" t="s">
        <v>728</v>
      </c>
      <c r="C90" s="109"/>
      <c r="D90" s="105"/>
      <c r="E90" s="150"/>
      <c r="F90" s="114"/>
      <c r="G90" s="86"/>
      <c r="H90" s="146"/>
      <c r="I90" s="142"/>
      <c r="J90" s="151"/>
      <c r="K90" s="146"/>
    </row>
    <row r="91" spans="1:11" ht="14.1" customHeight="1">
      <c r="A91" s="125"/>
      <c r="B91" s="109" t="s">
        <v>729</v>
      </c>
      <c r="C91" s="109"/>
      <c r="D91" s="105"/>
      <c r="E91" s="150"/>
      <c r="F91" s="114"/>
      <c r="G91" s="86"/>
      <c r="H91" s="146"/>
      <c r="I91" s="142"/>
      <c r="J91" s="151"/>
      <c r="K91" s="146"/>
    </row>
    <row r="92" spans="1:11" ht="14.1" customHeight="1">
      <c r="A92" s="125"/>
      <c r="B92" s="109" t="s">
        <v>730</v>
      </c>
      <c r="C92" s="109"/>
      <c r="D92" s="105"/>
      <c r="E92" s="150"/>
      <c r="F92" s="114"/>
      <c r="G92" s="86"/>
      <c r="H92" s="146"/>
      <c r="I92" s="142"/>
      <c r="J92" s="151"/>
      <c r="K92" s="146"/>
    </row>
    <row r="93" spans="1:11" ht="14.1" customHeight="1">
      <c r="A93" s="125"/>
      <c r="B93" s="109" t="s">
        <v>731</v>
      </c>
      <c r="C93" s="109"/>
      <c r="D93" s="105"/>
      <c r="E93" s="150"/>
      <c r="F93" s="114"/>
      <c r="G93" s="86"/>
      <c r="H93" s="146"/>
      <c r="I93" s="142"/>
      <c r="J93" s="151"/>
      <c r="K93" s="146"/>
    </row>
    <row r="94" spans="1:11" ht="14.1" customHeight="1">
      <c r="A94" s="125"/>
      <c r="B94" s="109" t="s">
        <v>732</v>
      </c>
      <c r="C94" s="109"/>
      <c r="D94" s="105"/>
      <c r="E94" s="150"/>
      <c r="F94" s="114"/>
      <c r="G94" s="86"/>
      <c r="H94" s="146"/>
      <c r="I94" s="142"/>
      <c r="J94" s="151"/>
      <c r="K94" s="146"/>
    </row>
    <row r="95" spans="1:11" ht="14.1" customHeight="1">
      <c r="A95" s="125"/>
      <c r="B95" s="109" t="s">
        <v>733</v>
      </c>
      <c r="C95" s="109"/>
      <c r="D95" s="105"/>
      <c r="E95" s="150"/>
      <c r="F95" s="114"/>
      <c r="G95" s="86"/>
      <c r="H95" s="146"/>
      <c r="I95" s="142"/>
      <c r="J95" s="151"/>
      <c r="K95" s="146"/>
    </row>
    <row r="96" spans="1:11" ht="14.1" customHeight="1">
      <c r="A96" s="125"/>
      <c r="B96" s="109" t="s">
        <v>734</v>
      </c>
      <c r="C96" s="109"/>
      <c r="D96" s="105"/>
      <c r="E96" s="150"/>
      <c r="F96" s="114"/>
      <c r="G96" s="86"/>
      <c r="H96" s="146"/>
      <c r="I96" s="142"/>
      <c r="J96" s="151"/>
      <c r="K96" s="146"/>
    </row>
    <row r="97" spans="1:11" ht="14.1" customHeight="1">
      <c r="A97" s="125"/>
      <c r="B97" s="109" t="s">
        <v>735</v>
      </c>
      <c r="C97" s="109"/>
      <c r="D97" s="105"/>
      <c r="E97" s="150"/>
      <c r="F97" s="114"/>
      <c r="G97" s="86"/>
      <c r="H97" s="146"/>
      <c r="I97" s="142"/>
      <c r="J97" s="151"/>
      <c r="K97" s="146"/>
    </row>
    <row r="98" spans="1:11" ht="14.1" customHeight="1">
      <c r="A98" s="125"/>
      <c r="B98" s="109" t="s">
        <v>736</v>
      </c>
      <c r="C98" s="109"/>
      <c r="D98" s="105"/>
      <c r="E98" s="150"/>
      <c r="F98" s="114"/>
      <c r="G98" s="86"/>
      <c r="H98" s="146"/>
      <c r="I98" s="142"/>
      <c r="J98" s="151"/>
      <c r="K98" s="146"/>
    </row>
    <row r="99" spans="1:11" ht="14.1" customHeight="1">
      <c r="A99" s="125"/>
      <c r="B99" s="109" t="s">
        <v>737</v>
      </c>
      <c r="C99" s="109"/>
      <c r="D99" s="152">
        <f>Mes!J171</f>
        <v>2595.6107000000002</v>
      </c>
      <c r="E99" s="150" t="s">
        <v>93</v>
      </c>
      <c r="F99" s="114">
        <v>337</v>
      </c>
      <c r="G99" s="147" t="s">
        <v>7</v>
      </c>
      <c r="H99" s="153">
        <v>0</v>
      </c>
      <c r="I99" s="142" t="s">
        <v>738</v>
      </c>
      <c r="J99" s="148">
        <f>IF(MID(I99,1,2)=("P."),(ROUND(D99*((F99)+(H99/100)),)),IF(MID(I99,1,2)=("%o"),(ROUND(D99*(((F99)+(H99/100))/1000),)),IF(MID(I99,1,2)=("Ea"),(ROUND(D99*((F99)+(H99/100)),)),ROUND(D99*(((F99)+(H99/100))/100),))))</f>
        <v>874721</v>
      </c>
      <c r="K99" s="149" t="s">
        <v>9</v>
      </c>
    </row>
    <row r="100" spans="1:11" ht="14.1" customHeight="1">
      <c r="A100" s="50"/>
      <c r="B100" s="68"/>
      <c r="C100" s="50"/>
      <c r="D100" s="238"/>
      <c r="E100" s="238"/>
      <c r="F100" s="238"/>
      <c r="G100" s="238"/>
      <c r="H100" s="238"/>
      <c r="I100" s="238"/>
      <c r="J100" s="238"/>
      <c r="K100" s="238"/>
    </row>
    <row r="101" spans="1:11" ht="14.1" customHeight="1">
      <c r="A101" s="52">
        <v>3</v>
      </c>
      <c r="B101" s="53" t="s">
        <v>763</v>
      </c>
      <c r="C101" s="53"/>
      <c r="D101" s="55"/>
      <c r="E101" s="66"/>
      <c r="F101" s="57"/>
      <c r="G101" s="58"/>
      <c r="H101" s="59"/>
      <c r="I101" s="60"/>
      <c r="J101" s="61"/>
      <c r="K101" s="67"/>
    </row>
    <row r="102" spans="1:11" ht="14.1" customHeight="1">
      <c r="A102" s="52"/>
      <c r="B102" s="53" t="s">
        <v>764</v>
      </c>
      <c r="C102" s="53"/>
      <c r="D102" s="55"/>
      <c r="E102" s="66"/>
      <c r="F102" s="57"/>
      <c r="G102" s="58"/>
      <c r="H102" s="59"/>
      <c r="I102" s="60"/>
      <c r="J102" s="61"/>
      <c r="K102" s="67"/>
    </row>
    <row r="103" spans="1:11" ht="14.1" customHeight="1">
      <c r="A103" s="52"/>
      <c r="B103" s="53" t="s">
        <v>765</v>
      </c>
      <c r="C103" s="53"/>
      <c r="D103" s="55"/>
      <c r="E103" s="66"/>
      <c r="F103" s="57"/>
      <c r="G103" s="58"/>
      <c r="H103" s="59"/>
      <c r="I103" s="60"/>
      <c r="J103" s="61"/>
      <c r="K103" s="67"/>
    </row>
    <row r="104" spans="1:11" ht="14.1" customHeight="1">
      <c r="A104" s="52"/>
      <c r="B104" s="53" t="s">
        <v>766</v>
      </c>
      <c r="C104" s="53"/>
      <c r="D104" s="55"/>
      <c r="E104" s="66"/>
      <c r="F104" s="57"/>
      <c r="G104" s="58"/>
      <c r="H104" s="59"/>
      <c r="I104" s="60"/>
      <c r="J104" s="61"/>
      <c r="K104" s="67"/>
    </row>
    <row r="105" spans="1:11" ht="14.1" customHeight="1">
      <c r="A105" s="52"/>
      <c r="B105" s="53" t="s">
        <v>767</v>
      </c>
      <c r="C105" s="53"/>
      <c r="D105" s="55">
        <f>Mes!J211</f>
        <v>1090.9449999999999</v>
      </c>
      <c r="E105" s="56" t="s">
        <v>93</v>
      </c>
      <c r="F105" s="57">
        <v>15771</v>
      </c>
      <c r="G105" s="58" t="s">
        <v>7</v>
      </c>
      <c r="H105" s="59">
        <v>1</v>
      </c>
      <c r="I105" s="60" t="s">
        <v>724</v>
      </c>
      <c r="J105" s="61">
        <f>IF(MID(I105,1,2)=("P."),(ROUND(D105*((F105)+(H105/100)),)),IF(MID(I105,1,2)=("%o"),(ROUND(D105*(((F105)+(H105/100))/1000),)),IF(MID(I105,1,2)=("Ea"),(ROUND(D105*((F105)+(H105/100)),)),ROUND(D105*(((F105)+(H105/100))/100),))))</f>
        <v>172053</v>
      </c>
      <c r="K105" s="62" t="s">
        <v>9</v>
      </c>
    </row>
    <row r="106" spans="1:11" ht="14.1" customHeight="1">
      <c r="A106" s="38"/>
      <c r="B106" s="68"/>
      <c r="C106" s="50"/>
      <c r="D106" s="238"/>
      <c r="E106" s="238"/>
      <c r="F106" s="238"/>
      <c r="G106" s="238"/>
      <c r="H106" s="238"/>
      <c r="I106" s="238"/>
      <c r="J106" s="238"/>
      <c r="K106" s="238"/>
    </row>
    <row r="107" spans="1:11" ht="14.1" customHeight="1">
      <c r="A107" s="52">
        <v>4</v>
      </c>
      <c r="B107" s="38" t="s">
        <v>76</v>
      </c>
      <c r="C107" s="53"/>
      <c r="D107" s="77"/>
      <c r="E107" s="78"/>
      <c r="F107" s="57"/>
      <c r="G107" s="60"/>
      <c r="H107" s="78"/>
      <c r="I107" s="60"/>
      <c r="J107" s="57"/>
      <c r="K107" s="78"/>
    </row>
    <row r="108" spans="1:11" ht="14.1" customHeight="1">
      <c r="A108" s="52"/>
      <c r="B108" s="38" t="s">
        <v>77</v>
      </c>
      <c r="C108" s="53"/>
      <c r="D108" s="165">
        <f>Mes!J267</f>
        <v>6834.5</v>
      </c>
      <c r="E108" s="158" t="s">
        <v>93</v>
      </c>
      <c r="F108" s="159">
        <v>3015</v>
      </c>
      <c r="G108" s="160" t="s">
        <v>7</v>
      </c>
      <c r="H108" s="158">
        <v>76</v>
      </c>
      <c r="I108" s="162" t="s">
        <v>71</v>
      </c>
      <c r="J108" s="163">
        <f>IF(MID(I108,1,2)=("P."),(ROUND(D108*((F108)+(H108/100)),)),IF(MID(I108,1,2)=("%o"),(ROUND(D108*(((F108)+(H108/100))/1000),)),IF(MID(I108,1,2)=("Ea"),(ROUND(D108*((F108)+(H108/100)),)),ROUND(D108*(((F108)+(H108/100))/100),))))</f>
        <v>206112</v>
      </c>
      <c r="K108" s="164" t="s">
        <v>9</v>
      </c>
    </row>
    <row r="109" spans="1:11" ht="15" customHeight="1">
      <c r="A109" s="52"/>
      <c r="C109" s="53"/>
      <c r="D109" s="237"/>
      <c r="E109" s="237"/>
      <c r="F109" s="237"/>
      <c r="G109" s="237"/>
      <c r="H109" s="237"/>
      <c r="I109" s="237"/>
      <c r="J109" s="237"/>
      <c r="K109" s="237"/>
    </row>
    <row r="110" spans="1:11" ht="15" customHeight="1">
      <c r="A110" s="52">
        <v>5</v>
      </c>
      <c r="B110" s="53" t="s">
        <v>768</v>
      </c>
      <c r="C110" s="53"/>
      <c r="D110" s="55"/>
      <c r="E110" s="56"/>
      <c r="F110" s="57"/>
      <c r="G110" s="58"/>
      <c r="H110" s="59"/>
      <c r="I110" s="60"/>
      <c r="J110" s="61"/>
      <c r="K110" s="62"/>
    </row>
    <row r="111" spans="1:11" ht="14.1" customHeight="1">
      <c r="A111" s="52"/>
      <c r="B111" s="53" t="s">
        <v>769</v>
      </c>
      <c r="C111" s="53"/>
      <c r="D111" s="55"/>
      <c r="E111" s="56"/>
      <c r="F111" s="57"/>
      <c r="G111" s="58"/>
      <c r="H111" s="59"/>
      <c r="I111" s="60"/>
      <c r="J111" s="61"/>
      <c r="K111" s="62"/>
    </row>
    <row r="112" spans="1:11" ht="14.1" customHeight="1">
      <c r="A112" s="52"/>
      <c r="B112" s="53" t="s">
        <v>770</v>
      </c>
      <c r="C112" s="53"/>
      <c r="D112" s="55"/>
      <c r="E112" s="56"/>
      <c r="F112" s="57"/>
      <c r="G112" s="58"/>
      <c r="H112" s="59"/>
      <c r="I112" s="60"/>
      <c r="J112" s="61"/>
      <c r="K112" s="62"/>
    </row>
    <row r="113" spans="1:11" ht="14.1" customHeight="1">
      <c r="A113" s="52"/>
      <c r="B113" s="53" t="s">
        <v>771</v>
      </c>
      <c r="C113" s="53"/>
      <c r="D113" s="55"/>
      <c r="E113" s="56"/>
      <c r="F113" s="57"/>
      <c r="G113" s="58"/>
      <c r="H113" s="59"/>
      <c r="I113" s="60"/>
      <c r="J113" s="61"/>
      <c r="K113" s="62"/>
    </row>
    <row r="114" spans="1:11" ht="14.1" customHeight="1">
      <c r="A114" s="52"/>
      <c r="B114" s="53" t="s">
        <v>772</v>
      </c>
      <c r="C114" s="53"/>
      <c r="D114" s="55"/>
      <c r="E114" s="56"/>
      <c r="F114" s="57"/>
      <c r="G114" s="58"/>
      <c r="H114" s="59"/>
      <c r="I114" s="60"/>
      <c r="J114" s="61"/>
      <c r="K114" s="62"/>
    </row>
    <row r="115" spans="1:11" ht="14.1" customHeight="1">
      <c r="A115" s="52"/>
      <c r="B115" s="53" t="s">
        <v>773</v>
      </c>
      <c r="C115" s="53"/>
      <c r="D115" s="55"/>
      <c r="E115" s="56"/>
      <c r="F115" s="57"/>
      <c r="G115" s="58"/>
      <c r="H115" s="59"/>
      <c r="I115" s="60"/>
      <c r="J115" s="61"/>
      <c r="K115" s="62"/>
    </row>
    <row r="116" spans="1:11" ht="14.1" customHeight="1">
      <c r="A116" s="52"/>
      <c r="B116" s="53" t="s">
        <v>774</v>
      </c>
      <c r="C116" s="53"/>
      <c r="D116" s="55"/>
      <c r="E116" s="56"/>
      <c r="F116" s="57"/>
      <c r="G116" s="58"/>
      <c r="H116" s="59"/>
      <c r="I116" s="60"/>
      <c r="J116" s="61"/>
      <c r="K116" s="62"/>
    </row>
    <row r="117" spans="1:11" ht="14.1" customHeight="1">
      <c r="A117" s="52"/>
      <c r="B117" s="53" t="s">
        <v>775</v>
      </c>
      <c r="C117" s="53"/>
      <c r="D117" s="55">
        <f>Mes!J274</f>
        <v>243</v>
      </c>
      <c r="E117" s="56" t="s">
        <v>386</v>
      </c>
      <c r="F117" s="57">
        <v>228</v>
      </c>
      <c r="G117" s="58" t="s">
        <v>7</v>
      </c>
      <c r="H117" s="59">
        <v>90</v>
      </c>
      <c r="I117" s="60" t="s">
        <v>776</v>
      </c>
      <c r="J117" s="61">
        <f>IF(MID(I117,1,2)=("P."),(ROUND(D117*((F117)+(H117/100)),)),IF(MID(I117,1,2)=("%o"),(ROUND(D117*(((F117)+(H117/100))/1000),)),IF(MID(I117,1,2)=("Ea"),(ROUND(D117*((F117)+(H117/100)),)),ROUND(D117*(((F117)+(H117/100))/100),))))</f>
        <v>55623</v>
      </c>
      <c r="K117" s="62" t="s">
        <v>9</v>
      </c>
    </row>
    <row r="118" spans="1:11" ht="14.1" customHeight="1">
      <c r="A118" s="52"/>
      <c r="C118" s="53"/>
      <c r="D118" s="237"/>
      <c r="E118" s="237"/>
      <c r="F118" s="237"/>
      <c r="G118" s="237"/>
      <c r="H118" s="237"/>
      <c r="I118" s="237"/>
      <c r="J118" s="237"/>
      <c r="K118" s="237"/>
    </row>
    <row r="119" spans="1:11" ht="14.1" customHeight="1">
      <c r="A119" s="52">
        <v>6</v>
      </c>
      <c r="B119" s="168" t="s">
        <v>777</v>
      </c>
      <c r="C119" s="169"/>
      <c r="D119" s="55"/>
      <c r="E119" s="56"/>
      <c r="F119" s="57"/>
      <c r="G119" s="58"/>
      <c r="H119" s="59"/>
      <c r="I119" s="60"/>
      <c r="J119" s="61"/>
      <c r="K119" s="62"/>
    </row>
    <row r="120" spans="1:11" ht="14.1" customHeight="1">
      <c r="A120" s="52"/>
      <c r="B120" s="168" t="s">
        <v>778</v>
      </c>
      <c r="C120" s="169"/>
      <c r="D120" s="55"/>
      <c r="E120" s="56"/>
      <c r="F120" s="57"/>
      <c r="G120" s="58"/>
      <c r="H120" s="59"/>
      <c r="I120" s="60"/>
      <c r="J120" s="61"/>
      <c r="K120" s="62"/>
    </row>
    <row r="121" spans="1:11" ht="14.1" customHeight="1">
      <c r="A121" s="52"/>
      <c r="B121" s="168" t="s">
        <v>779</v>
      </c>
      <c r="C121" s="169"/>
      <c r="D121" s="55"/>
      <c r="E121" s="56"/>
      <c r="F121" s="57"/>
      <c r="G121" s="58"/>
      <c r="H121" s="59"/>
      <c r="I121" s="60"/>
      <c r="J121" s="61"/>
      <c r="K121" s="62"/>
    </row>
    <row r="122" spans="1:11" ht="14.1" customHeight="1">
      <c r="A122" s="52"/>
      <c r="B122" s="168" t="s">
        <v>780</v>
      </c>
      <c r="C122" s="169"/>
      <c r="D122" s="55"/>
      <c r="E122" s="56"/>
      <c r="F122" s="57"/>
      <c r="G122" s="58"/>
      <c r="H122" s="59"/>
      <c r="I122" s="60"/>
      <c r="J122" s="61"/>
      <c r="K122" s="62"/>
    </row>
    <row r="123" spans="1:11" ht="14.1" customHeight="1">
      <c r="A123" s="52"/>
      <c r="B123" s="168" t="s">
        <v>781</v>
      </c>
      <c r="C123" s="169"/>
      <c r="D123" s="55"/>
      <c r="E123" s="56"/>
      <c r="F123" s="57"/>
      <c r="G123" s="58"/>
      <c r="H123" s="59"/>
      <c r="I123" s="60"/>
      <c r="J123" s="61"/>
      <c r="K123" s="62"/>
    </row>
    <row r="124" spans="1:11" ht="14.1" customHeight="1">
      <c r="A124" s="52"/>
      <c r="B124" s="168" t="s">
        <v>782</v>
      </c>
      <c r="C124" s="169"/>
      <c r="D124" s="53"/>
      <c r="E124" s="53"/>
      <c r="F124" s="53"/>
      <c r="G124" s="53"/>
      <c r="H124" s="53"/>
      <c r="I124" s="53"/>
      <c r="J124" s="53"/>
      <c r="K124" s="53"/>
    </row>
    <row r="125" spans="1:11" ht="14.1" customHeight="1">
      <c r="A125" s="52"/>
      <c r="B125" s="168" t="s">
        <v>783</v>
      </c>
      <c r="C125" s="169"/>
      <c r="D125" s="55"/>
      <c r="E125" s="56"/>
      <c r="F125" s="57"/>
      <c r="G125" s="58"/>
      <c r="H125" s="59"/>
      <c r="I125" s="60"/>
      <c r="J125" s="61"/>
      <c r="K125" s="62"/>
    </row>
    <row r="126" spans="1:11" ht="14.1" customHeight="1">
      <c r="A126" s="52"/>
      <c r="B126" s="168" t="s">
        <v>784</v>
      </c>
      <c r="C126" s="169"/>
      <c r="D126" s="170"/>
      <c r="E126" s="171"/>
      <c r="F126" s="166"/>
      <c r="G126" s="167"/>
      <c r="H126" s="171"/>
      <c r="I126" s="167"/>
      <c r="J126" s="166"/>
      <c r="K126" s="171"/>
    </row>
    <row r="127" spans="1:11" ht="14.1" customHeight="1">
      <c r="A127" s="52"/>
      <c r="B127" s="172" t="s">
        <v>785</v>
      </c>
      <c r="C127" s="169"/>
      <c r="D127" s="55">
        <f>Mes!J281</f>
        <v>294</v>
      </c>
      <c r="E127" s="56" t="s">
        <v>8</v>
      </c>
      <c r="F127" s="57">
        <v>706</v>
      </c>
      <c r="G127" s="58" t="s">
        <v>7</v>
      </c>
      <c r="H127" s="59">
        <v>23</v>
      </c>
      <c r="I127" s="60" t="s">
        <v>4</v>
      </c>
      <c r="J127" s="61">
        <f>IF(MID(I127,1,2)=("P."),(ROUND(D127*((F127)+(H127/100)),)),IF(MID(I127,1,2)=("%o"),(ROUND(D127*(((F127)+(H127/100))/1000),)),IF(MID(I127,1,2)=("Ea"),(ROUND(D127*((F127)+(H127/100)),)),ROUND(D127*(((F127)+(H127/100))/100),))))</f>
        <v>207632</v>
      </c>
      <c r="K127" s="62" t="s">
        <v>9</v>
      </c>
    </row>
    <row r="128" spans="1:11" ht="14.1" customHeight="1">
      <c r="A128" s="52"/>
      <c r="C128" s="53"/>
      <c r="D128" s="237"/>
      <c r="E128" s="237"/>
      <c r="F128" s="237"/>
      <c r="G128" s="237"/>
      <c r="H128" s="237"/>
      <c r="I128" s="237"/>
      <c r="J128" s="237"/>
      <c r="K128" s="237"/>
    </row>
    <row r="129" spans="1:11" ht="14.1" customHeight="1">
      <c r="A129" s="173">
        <v>7</v>
      </c>
      <c r="B129" s="38" t="s">
        <v>786</v>
      </c>
    </row>
    <row r="130" spans="1:11" ht="14.1" customHeight="1">
      <c r="B130" s="38" t="s">
        <v>787</v>
      </c>
    </row>
    <row r="131" spans="1:11" ht="14.1" customHeight="1">
      <c r="A131" s="50"/>
      <c r="B131" s="68" t="s">
        <v>788</v>
      </c>
      <c r="D131" s="50"/>
      <c r="E131" s="50"/>
      <c r="F131" s="50"/>
      <c r="G131" s="50"/>
      <c r="H131" s="51"/>
      <c r="I131" s="50"/>
      <c r="J131" s="50"/>
      <c r="K131" s="50"/>
    </row>
    <row r="132" spans="1:11" ht="14.1" customHeight="1">
      <c r="A132" s="125"/>
      <c r="B132" s="38" t="s">
        <v>789</v>
      </c>
      <c r="D132" s="131"/>
      <c r="E132" s="65"/>
      <c r="F132" s="41"/>
      <c r="G132" s="40"/>
      <c r="I132" s="40"/>
      <c r="J132" s="41"/>
      <c r="K132" s="65"/>
    </row>
    <row r="133" spans="1:11" ht="14.1" customHeight="1">
      <c r="A133" s="125"/>
      <c r="B133" s="33" t="s">
        <v>790</v>
      </c>
      <c r="D133" s="131"/>
      <c r="E133" s="65"/>
      <c r="F133" s="41"/>
      <c r="G133" s="40"/>
      <c r="I133" s="40"/>
      <c r="J133" s="41"/>
      <c r="K133" s="65"/>
    </row>
    <row r="134" spans="1:11" ht="14.1" customHeight="1">
      <c r="A134" s="125"/>
      <c r="B134" s="134" t="s">
        <v>791</v>
      </c>
      <c r="D134" s="69">
        <f>Mes!J285</f>
        <v>35</v>
      </c>
      <c r="E134" s="174" t="s">
        <v>8</v>
      </c>
      <c r="F134" s="71">
        <v>562</v>
      </c>
      <c r="G134" s="72" t="s">
        <v>7</v>
      </c>
      <c r="H134" s="73">
        <v>98</v>
      </c>
      <c r="I134" s="74" t="s">
        <v>4</v>
      </c>
      <c r="J134" s="75">
        <f>IF(MID(I134,1,2)=("P."),(ROUND(D134*((F134)+(H134/100)),)),IF(MID(I134,1,2)=("%o"),(ROUND(D134*(((F134)+(H134/100))/1000),)),IF(MID(I134,1,2)=("Ea"),(ROUND(D134*((F134)+(H134/100)),)),ROUND(D134*(((F134)+(H134/100))/100),))))</f>
        <v>19704</v>
      </c>
      <c r="K134" s="76" t="s">
        <v>9</v>
      </c>
    </row>
    <row r="135" spans="1:11" ht="14.1" customHeight="1">
      <c r="A135" s="52"/>
      <c r="C135" s="53"/>
      <c r="D135" s="237"/>
      <c r="E135" s="237"/>
      <c r="F135" s="237"/>
      <c r="G135" s="237"/>
      <c r="H135" s="237"/>
      <c r="I135" s="237"/>
      <c r="J135" s="237"/>
      <c r="K135" s="237"/>
    </row>
    <row r="136" spans="1:11" ht="14.1" customHeight="1">
      <c r="A136" s="52">
        <v>8</v>
      </c>
      <c r="B136" s="53" t="s">
        <v>792</v>
      </c>
      <c r="C136" s="53"/>
      <c r="D136" s="77"/>
      <c r="E136" s="78"/>
      <c r="F136" s="57"/>
      <c r="G136" s="60"/>
      <c r="H136" s="78"/>
      <c r="I136" s="60"/>
      <c r="J136" s="57"/>
      <c r="K136" s="78"/>
    </row>
    <row r="137" spans="1:11" ht="14.1" customHeight="1">
      <c r="A137" s="52"/>
      <c r="B137" s="53" t="s">
        <v>793</v>
      </c>
      <c r="C137" s="54"/>
      <c r="D137" s="55"/>
      <c r="E137" s="56"/>
      <c r="F137" s="57"/>
      <c r="G137" s="58"/>
      <c r="H137" s="59"/>
      <c r="I137" s="60"/>
      <c r="J137" s="61"/>
      <c r="K137" s="62"/>
    </row>
    <row r="138" spans="1:11" ht="14.1" customHeight="1">
      <c r="A138" s="52"/>
      <c r="B138" s="53" t="s">
        <v>794</v>
      </c>
      <c r="C138" s="53"/>
      <c r="D138" s="77"/>
      <c r="E138" s="78"/>
      <c r="F138" s="57"/>
      <c r="G138" s="60"/>
      <c r="H138" s="78"/>
      <c r="I138" s="60"/>
      <c r="J138" s="57"/>
      <c r="K138" s="78"/>
    </row>
    <row r="139" spans="1:11" ht="14.1" customHeight="1">
      <c r="A139" s="52"/>
      <c r="B139" s="53" t="s">
        <v>795</v>
      </c>
      <c r="C139" s="54"/>
      <c r="D139" s="55">
        <f>Mes!J292</f>
        <v>486</v>
      </c>
      <c r="E139" s="56" t="s">
        <v>8</v>
      </c>
      <c r="F139" s="57">
        <v>49</v>
      </c>
      <c r="G139" s="58" t="s">
        <v>7</v>
      </c>
      <c r="H139" s="59">
        <v>97</v>
      </c>
      <c r="I139" s="60" t="s">
        <v>4</v>
      </c>
      <c r="J139" s="61">
        <f>IF(MID(I139,1,2)=("P."),(ROUND(D139*((F139)+(H139/100)),)),IF(MID(I139,1,2)=("%o"),(ROUND(D139*(((F139)+(H139/100))/1000),)),IF(MID(I139,1,2)=("Ea"),(ROUND(D139*((F139)+(H139/100)),)),ROUND(D139*(((F139)+(H139/100))/100),))))</f>
        <v>24285</v>
      </c>
      <c r="K139" s="62" t="s">
        <v>9</v>
      </c>
    </row>
    <row r="140" spans="1:11" ht="14.1" customHeight="1">
      <c r="A140" s="52"/>
      <c r="C140" s="53"/>
      <c r="D140" s="237"/>
      <c r="E140" s="237"/>
      <c r="F140" s="237"/>
      <c r="G140" s="237"/>
      <c r="H140" s="237"/>
      <c r="I140" s="237"/>
      <c r="J140" s="237"/>
      <c r="K140" s="237"/>
    </row>
    <row r="141" spans="1:11" ht="14.1" customHeight="1">
      <c r="A141" s="52">
        <v>9</v>
      </c>
      <c r="B141" s="53" t="s">
        <v>796</v>
      </c>
      <c r="C141" s="53"/>
      <c r="D141" s="53"/>
      <c r="E141" s="53"/>
      <c r="F141" s="53"/>
      <c r="G141" s="53"/>
      <c r="H141" s="53"/>
      <c r="I141" s="53"/>
      <c r="J141" s="53"/>
      <c r="K141" s="53"/>
    </row>
    <row r="142" spans="1:11" ht="14.1" customHeight="1">
      <c r="A142" s="52"/>
      <c r="B142" s="53" t="s">
        <v>797</v>
      </c>
      <c r="C142" s="53"/>
      <c r="D142" s="175">
        <f>Mes!J297</f>
        <v>9</v>
      </c>
      <c r="E142" s="174" t="s">
        <v>402</v>
      </c>
      <c r="F142" s="71">
        <v>1786</v>
      </c>
      <c r="G142" s="72" t="s">
        <v>7</v>
      </c>
      <c r="H142" s="73">
        <v>13</v>
      </c>
      <c r="I142" s="74" t="s">
        <v>798</v>
      </c>
      <c r="J142" s="75">
        <f>IF(MID(I142,1,2)=("P."),(ROUND(D142*((F142)+(H142/100)),)),IF(MID(I142,1,2)=("%o"),(ROUND(D142*(((F142)+(H142/100))/1000),)),IF(MID(I142,1,2)=("Ea"),(ROUND(D142*((F142)+(H142/100)),)),ROUND(D142*(((F142)+(H142/100))/100),))))</f>
        <v>16075</v>
      </c>
      <c r="K142" s="76" t="s">
        <v>9</v>
      </c>
    </row>
    <row r="143" spans="1:11" ht="14.1" customHeight="1">
      <c r="A143" s="52"/>
      <c r="C143" s="53"/>
      <c r="D143" s="237"/>
      <c r="E143" s="237"/>
      <c r="F143" s="237"/>
      <c r="G143" s="237"/>
      <c r="H143" s="237"/>
      <c r="I143" s="237"/>
      <c r="J143" s="237"/>
      <c r="K143" s="237"/>
    </row>
    <row r="144" spans="1:11" ht="14.1" customHeight="1">
      <c r="A144" s="143">
        <v>10</v>
      </c>
      <c r="B144" s="104" t="s">
        <v>759</v>
      </c>
      <c r="C144" s="104"/>
      <c r="D144" s="157"/>
      <c r="E144" s="158"/>
      <c r="F144" s="159"/>
      <c r="G144" s="160"/>
      <c r="H144" s="161"/>
      <c r="I144" s="162"/>
      <c r="J144" s="163"/>
      <c r="K144" s="164"/>
    </row>
    <row r="145" spans="1:11" ht="14.1" customHeight="1">
      <c r="A145" s="143"/>
      <c r="B145" s="104" t="s">
        <v>760</v>
      </c>
      <c r="C145" s="104"/>
      <c r="D145" s="157"/>
      <c r="E145" s="158"/>
      <c r="F145" s="159"/>
      <c r="G145" s="160"/>
      <c r="H145" s="161"/>
      <c r="I145" s="162"/>
      <c r="J145" s="163"/>
      <c r="K145" s="164"/>
    </row>
    <row r="146" spans="1:11" ht="14.1" customHeight="1">
      <c r="A146" s="143"/>
      <c r="B146" s="104" t="s">
        <v>761</v>
      </c>
      <c r="C146" s="104"/>
      <c r="D146" s="157"/>
      <c r="E146" s="158"/>
      <c r="F146" s="159"/>
      <c r="G146" s="160"/>
      <c r="H146" s="161"/>
      <c r="I146" s="162"/>
      <c r="J146" s="163"/>
      <c r="K146" s="164"/>
    </row>
    <row r="147" spans="1:11" ht="14.1" customHeight="1">
      <c r="A147" s="143"/>
      <c r="B147" s="104" t="s">
        <v>762</v>
      </c>
      <c r="C147" s="104"/>
      <c r="D147" s="165">
        <f>Mes!J307</f>
        <v>2568.75</v>
      </c>
      <c r="E147" s="158" t="s">
        <v>93</v>
      </c>
      <c r="F147" s="159">
        <v>3275</v>
      </c>
      <c r="G147" s="160" t="s">
        <v>7</v>
      </c>
      <c r="H147" s="158">
        <v>50</v>
      </c>
      <c r="I147" s="162" t="s">
        <v>71</v>
      </c>
      <c r="J147" s="163">
        <f>IF(MID(I147,1,2)=("P."),(ROUND(D147*((F147)+(H147/100)),)),IF(MID(I147,1,2)=("%o"),(ROUND(D147*(((F147)+(H147/100))/1000),)),IF(MID(I147,1,2)=("Ea"),(ROUND(D147*((F147)+(H147/100)),)),ROUND(D147*(((F147)+(H147/100))/100),))))</f>
        <v>84139</v>
      </c>
      <c r="K147" s="164" t="s">
        <v>9</v>
      </c>
    </row>
    <row r="148" spans="1:11" ht="14.1" customHeight="1">
      <c r="A148" s="52"/>
      <c r="C148" s="53"/>
      <c r="D148" s="237"/>
      <c r="E148" s="237"/>
      <c r="F148" s="237"/>
      <c r="G148" s="237"/>
      <c r="H148" s="237"/>
      <c r="I148" s="237"/>
      <c r="J148" s="237"/>
      <c r="K148" s="237"/>
    </row>
    <row r="149" spans="1:11" ht="14.1" customHeight="1">
      <c r="A149" s="52">
        <v>11</v>
      </c>
      <c r="B149" s="38" t="s">
        <v>799</v>
      </c>
      <c r="C149" s="53"/>
      <c r="D149" s="165">
        <f>Mes!J321</f>
        <v>2232</v>
      </c>
      <c r="E149" s="158" t="s">
        <v>93</v>
      </c>
      <c r="F149" s="159">
        <v>442</v>
      </c>
      <c r="G149" s="160" t="s">
        <v>7</v>
      </c>
      <c r="H149" s="158">
        <v>75</v>
      </c>
      <c r="I149" s="162" t="s">
        <v>71</v>
      </c>
      <c r="J149" s="163">
        <f>IF(MID(I149,1,2)=("P."),(ROUND(D149*((F149)+(H149/100)),)),IF(MID(I149,1,2)=("%o"),(ROUND(D149*(((F149)+(H149/100))/1000),)),IF(MID(I149,1,2)=("Ea"),(ROUND(D149*((F149)+(H149/100)),)),ROUND(D149*(((F149)+(H149/100))/100),))))</f>
        <v>9882</v>
      </c>
      <c r="K149" s="164" t="s">
        <v>9</v>
      </c>
    </row>
    <row r="150" spans="1:11" ht="14.1" customHeight="1">
      <c r="A150" s="52"/>
      <c r="C150" s="53"/>
      <c r="D150" s="237"/>
      <c r="E150" s="237"/>
      <c r="F150" s="237"/>
      <c r="G150" s="237"/>
      <c r="H150" s="237"/>
      <c r="I150" s="237"/>
      <c r="J150" s="237"/>
      <c r="K150" s="237"/>
    </row>
    <row r="151" spans="1:11" ht="14.1" customHeight="1">
      <c r="A151" s="50">
        <v>12</v>
      </c>
      <c r="B151" s="68" t="s">
        <v>802</v>
      </c>
      <c r="C151" s="50"/>
      <c r="D151" s="50"/>
      <c r="E151" s="50"/>
      <c r="F151" s="50"/>
      <c r="G151" s="50"/>
      <c r="H151" s="51"/>
      <c r="I151" s="50"/>
      <c r="J151" s="50"/>
      <c r="K151" s="50"/>
    </row>
    <row r="152" spans="1:11" ht="14.1" customHeight="1">
      <c r="A152" s="50"/>
      <c r="B152" s="68" t="s">
        <v>800</v>
      </c>
      <c r="C152" s="50"/>
      <c r="D152" s="69">
        <f>Mes!J324</f>
        <v>2232</v>
      </c>
      <c r="E152" s="70" t="s">
        <v>8</v>
      </c>
      <c r="F152" s="71">
        <v>1079</v>
      </c>
      <c r="G152" s="72" t="s">
        <v>7</v>
      </c>
      <c r="H152" s="73">
        <v>65</v>
      </c>
      <c r="I152" s="74" t="s">
        <v>801</v>
      </c>
      <c r="J152" s="75">
        <f>IF(MID(I152,1,2)=("P."),(ROUND(D152*((F152)+(H152/100)),)),IF(MID(I152,1,2)=("%o"),(ROUND(D152*(((F152)+(H152/100))/1000),)),IF(MID(I152,1,2)=("Ea"),(ROUND(D152*((F152)+(H152/100)),)),ROUND(D152*(((F152)+(H152/100))/100),))))</f>
        <v>24098</v>
      </c>
      <c r="K152" s="76" t="s">
        <v>9</v>
      </c>
    </row>
    <row r="153" spans="1:11" ht="14.1" customHeight="1">
      <c r="A153" s="38"/>
      <c r="B153" s="68"/>
      <c r="C153" s="50"/>
      <c r="D153" s="238"/>
      <c r="E153" s="238"/>
      <c r="F153" s="238"/>
      <c r="G153" s="238"/>
      <c r="H153" s="238"/>
      <c r="I153" s="238"/>
      <c r="J153" s="238"/>
      <c r="K153" s="238"/>
    </row>
    <row r="154" spans="1:11" ht="14.1" customHeight="1">
      <c r="A154" s="38">
        <v>13</v>
      </c>
      <c r="B154" s="68" t="s">
        <v>803</v>
      </c>
      <c r="C154" s="50"/>
      <c r="D154" s="50"/>
      <c r="E154" s="50"/>
      <c r="F154" s="50"/>
      <c r="G154" s="50"/>
      <c r="H154" s="51"/>
      <c r="I154" s="50"/>
      <c r="J154" s="50"/>
      <c r="K154" s="50"/>
    </row>
    <row r="155" spans="1:11" ht="14.1" customHeight="1">
      <c r="A155" s="50"/>
      <c r="B155" s="68" t="s">
        <v>804</v>
      </c>
      <c r="C155" s="50"/>
      <c r="D155" s="55"/>
      <c r="E155" s="56"/>
      <c r="F155" s="57"/>
      <c r="G155" s="58"/>
      <c r="H155" s="59"/>
      <c r="I155" s="60"/>
      <c r="J155" s="61"/>
      <c r="K155" s="62"/>
    </row>
    <row r="156" spans="1:11" ht="14.1" customHeight="1">
      <c r="A156" s="50"/>
      <c r="B156" s="33" t="s">
        <v>805</v>
      </c>
      <c r="C156" s="50"/>
      <c r="D156" s="50"/>
      <c r="E156" s="65"/>
      <c r="F156" s="71"/>
      <c r="G156" s="72"/>
      <c r="H156" s="73"/>
      <c r="I156" s="74"/>
      <c r="J156" s="75"/>
      <c r="K156" s="76"/>
    </row>
    <row r="157" spans="1:11" ht="14.1" customHeight="1">
      <c r="A157" s="52"/>
      <c r="B157" s="133" t="s">
        <v>806</v>
      </c>
      <c r="C157" s="53"/>
      <c r="D157" s="87"/>
      <c r="E157" s="78"/>
      <c r="F157" s="57"/>
      <c r="G157" s="88"/>
      <c r="H157" s="59"/>
      <c r="I157" s="60"/>
      <c r="J157" s="61"/>
      <c r="K157" s="62"/>
    </row>
    <row r="158" spans="1:11" ht="14.1" customHeight="1">
      <c r="A158" s="52"/>
      <c r="B158" s="133" t="s">
        <v>807</v>
      </c>
      <c r="C158" s="53"/>
      <c r="D158" s="69">
        <f>Mes!J327</f>
        <v>4314</v>
      </c>
      <c r="E158" s="70" t="s">
        <v>8</v>
      </c>
      <c r="F158" s="71">
        <v>2237</v>
      </c>
      <c r="G158" s="72" t="s">
        <v>7</v>
      </c>
      <c r="H158" s="73">
        <v>95</v>
      </c>
      <c r="I158" s="74" t="s">
        <v>801</v>
      </c>
      <c r="J158" s="75">
        <f>IF(MID(I158,1,2)=("P."),(ROUND(D158*((F158)+(H158/100)),)),IF(MID(I158,1,2)=("%o"),(ROUND(D158*(((F158)+(H158/100))/1000),)),IF(MID(I158,1,2)=("Ea"),(ROUND(D158*((F158)+(H158/100)),)),ROUND(D158*(((F158)+(H158/100))/100),))))</f>
        <v>96545</v>
      </c>
      <c r="K158" s="76" t="s">
        <v>9</v>
      </c>
    </row>
    <row r="159" spans="1:11" ht="14.1" customHeight="1">
      <c r="A159" s="52"/>
      <c r="B159" s="133"/>
      <c r="C159" s="53"/>
      <c r="D159" s="239"/>
      <c r="E159" s="239"/>
      <c r="F159" s="239"/>
      <c r="G159" s="239"/>
      <c r="H159" s="239"/>
      <c r="I159" s="239"/>
      <c r="J159" s="239"/>
      <c r="K159" s="239"/>
    </row>
    <row r="160" spans="1:11" ht="14.1" customHeight="1">
      <c r="A160" s="52">
        <v>14</v>
      </c>
      <c r="B160" s="53" t="s">
        <v>803</v>
      </c>
      <c r="C160" s="53"/>
      <c r="D160" s="77"/>
      <c r="E160" s="78"/>
      <c r="F160" s="57"/>
      <c r="G160" s="60"/>
      <c r="H160" s="78"/>
      <c r="I160" s="60"/>
      <c r="J160" s="57"/>
      <c r="K160" s="78"/>
    </row>
    <row r="161" spans="1:11" ht="14.1" customHeight="1">
      <c r="A161" s="52"/>
      <c r="B161" s="53" t="s">
        <v>808</v>
      </c>
      <c r="C161" s="53"/>
      <c r="D161" s="77"/>
      <c r="E161" s="78"/>
      <c r="F161" s="57"/>
      <c r="G161" s="60"/>
      <c r="H161" s="78"/>
      <c r="I161" s="60"/>
      <c r="J161" s="57"/>
      <c r="K161" s="78"/>
    </row>
    <row r="162" spans="1:11" ht="14.1" customHeight="1">
      <c r="A162" s="52"/>
      <c r="B162" s="53" t="s">
        <v>809</v>
      </c>
      <c r="C162" s="53"/>
      <c r="D162" s="77"/>
      <c r="E162" s="78"/>
      <c r="F162" s="57"/>
      <c r="G162" s="60"/>
      <c r="H162" s="78"/>
      <c r="I162" s="60"/>
      <c r="J162" s="57"/>
      <c r="K162" s="78"/>
    </row>
    <row r="163" spans="1:11" ht="14.1" customHeight="1">
      <c r="A163" s="52"/>
      <c r="B163" s="53" t="s">
        <v>810</v>
      </c>
      <c r="C163" s="53"/>
      <c r="D163" s="77"/>
      <c r="E163" s="78"/>
      <c r="F163" s="57"/>
      <c r="G163" s="60"/>
      <c r="H163" s="78"/>
      <c r="I163" s="60"/>
      <c r="J163" s="57"/>
      <c r="K163" s="78"/>
    </row>
    <row r="164" spans="1:11" ht="14.1" customHeight="1">
      <c r="A164" s="52"/>
      <c r="B164" s="53" t="s">
        <v>811</v>
      </c>
      <c r="C164" s="53"/>
      <c r="D164" s="77"/>
      <c r="E164" s="78"/>
      <c r="F164" s="57"/>
      <c r="G164" s="60"/>
      <c r="H164" s="78"/>
      <c r="I164" s="60"/>
      <c r="J164" s="57"/>
      <c r="K164" s="78"/>
    </row>
    <row r="165" spans="1:11" ht="14.1" customHeight="1">
      <c r="A165" s="52"/>
      <c r="B165" s="53" t="s">
        <v>812</v>
      </c>
      <c r="C165" s="53"/>
      <c r="D165" s="55">
        <f>Mes!J330</f>
        <v>2520.5</v>
      </c>
      <c r="E165" s="56" t="s">
        <v>8</v>
      </c>
      <c r="F165" s="57">
        <v>2567</v>
      </c>
      <c r="G165" s="58" t="s">
        <v>7</v>
      </c>
      <c r="H165" s="59">
        <v>95</v>
      </c>
      <c r="I165" s="60" t="s">
        <v>71</v>
      </c>
      <c r="J165" s="61">
        <f>IF(MID(I165,1,2)=("P."),(ROUND(D165*((F165)+(H165/100)),)),IF(MID(I165,1,2)=("%o"),(ROUND(D165*(((F165)+(H165/100))/1000),)),IF(MID(I165,1,2)=("Ea"),(ROUND(D165*((F165)+(H165/100)),)),ROUND(D165*(((F165)+(H165/100))/100),))))</f>
        <v>64725</v>
      </c>
      <c r="K165" s="62" t="s">
        <v>9</v>
      </c>
    </row>
    <row r="166" spans="1:11" ht="14.1" customHeight="1">
      <c r="A166" s="52"/>
      <c r="B166" s="133"/>
      <c r="C166" s="53"/>
      <c r="D166" s="239"/>
      <c r="E166" s="239"/>
      <c r="F166" s="239"/>
      <c r="G166" s="239"/>
      <c r="H166" s="239"/>
      <c r="I166" s="239"/>
      <c r="J166" s="239"/>
      <c r="K166" s="239"/>
    </row>
    <row r="167" spans="1:11" ht="14.1" customHeight="1">
      <c r="A167" s="125">
        <v>15</v>
      </c>
      <c r="B167" s="86" t="s">
        <v>813</v>
      </c>
      <c r="C167" s="86"/>
      <c r="D167" s="105"/>
      <c r="E167" s="142"/>
      <c r="F167" s="142"/>
      <c r="G167" s="114"/>
      <c r="H167" s="86"/>
      <c r="I167" s="86"/>
      <c r="J167" s="86"/>
      <c r="K167" s="86"/>
    </row>
    <row r="168" spans="1:11" ht="14.1" customHeight="1">
      <c r="A168" s="125"/>
      <c r="B168" s="86" t="s">
        <v>814</v>
      </c>
      <c r="C168" s="86"/>
      <c r="D168" s="105"/>
      <c r="E168" s="142"/>
      <c r="F168" s="142"/>
      <c r="G168" s="114"/>
      <c r="H168" s="86"/>
      <c r="I168" s="86"/>
      <c r="J168" s="86"/>
      <c r="K168" s="86"/>
    </row>
    <row r="169" spans="1:11" ht="14.1" customHeight="1">
      <c r="A169" s="125"/>
      <c r="B169" s="86" t="s">
        <v>815</v>
      </c>
      <c r="C169" s="86"/>
      <c r="D169" s="176">
        <f>Mes!J337</f>
        <v>507.5</v>
      </c>
      <c r="E169" s="146" t="s">
        <v>8</v>
      </c>
      <c r="F169" s="114">
        <v>2116</v>
      </c>
      <c r="G169" s="154" t="s">
        <v>7</v>
      </c>
      <c r="H169" s="146">
        <v>41</v>
      </c>
      <c r="I169" s="142" t="s">
        <v>816</v>
      </c>
      <c r="J169" s="148">
        <f>IF(MID(I169,1,2)=("P."),(ROUND(D169*((F169)+(H169/100)),)),IF(MID(I169,1,2)=("%o"),(ROUND(D169*(((F169)+(H169/100))/1000),)),IF(MID(I169,1,2)=("Ea"),(ROUND(D169*((F169)+(H169/100)),)),ROUND(D169*(((F169)+(H169/100))/100),))))</f>
        <v>10741</v>
      </c>
      <c r="K169" s="149" t="s">
        <v>9</v>
      </c>
    </row>
    <row r="170" spans="1:11" ht="14.1" customHeight="1">
      <c r="A170" s="125"/>
      <c r="B170" s="86"/>
      <c r="C170" s="86"/>
      <c r="D170" s="240"/>
      <c r="E170" s="240"/>
      <c r="F170" s="240"/>
      <c r="G170" s="240"/>
      <c r="H170" s="240"/>
      <c r="I170" s="240"/>
      <c r="J170" s="240"/>
      <c r="K170" s="240"/>
    </row>
    <row r="171" spans="1:11" ht="14.1" customHeight="1">
      <c r="A171" s="50"/>
      <c r="B171" s="53"/>
      <c r="C171" s="53"/>
      <c r="D171" s="55"/>
      <c r="E171" s="79"/>
      <c r="F171" s="79"/>
      <c r="G171" s="79"/>
      <c r="H171" s="73"/>
      <c r="I171" s="80" t="s">
        <v>50</v>
      </c>
      <c r="J171" s="81">
        <f>SUM(J169+J165+J158+J152+J149+J147+J142+J141+J139+J134+J127+J117+J108+J105+J99+J85)</f>
        <v>2981564</v>
      </c>
      <c r="K171" s="82" t="s">
        <v>9</v>
      </c>
    </row>
    <row r="172" spans="1:11" ht="14.1" customHeight="1" thickBot="1">
      <c r="A172" s="50"/>
      <c r="B172" s="68"/>
      <c r="C172" s="79"/>
      <c r="D172" s="79" t="s">
        <v>851</v>
      </c>
      <c r="E172" s="66"/>
      <c r="F172" s="57"/>
      <c r="G172" s="58"/>
      <c r="H172" s="59"/>
      <c r="I172" s="57"/>
      <c r="J172" s="61"/>
      <c r="K172" s="62"/>
    </row>
    <row r="173" spans="1:11" ht="14.1" customHeight="1" thickBot="1">
      <c r="A173" s="50"/>
      <c r="B173" s="68"/>
      <c r="C173" s="79"/>
      <c r="D173" s="79"/>
      <c r="E173" s="66"/>
      <c r="F173" s="57"/>
      <c r="G173" s="58"/>
      <c r="H173" s="59"/>
      <c r="I173" s="83" t="s">
        <v>19</v>
      </c>
      <c r="J173" s="84"/>
      <c r="K173" s="85"/>
    </row>
    <row r="174" spans="1:11" ht="14.1" customHeight="1">
      <c r="A174" s="50"/>
      <c r="B174" s="68"/>
      <c r="C174" s="79"/>
      <c r="D174" s="79"/>
      <c r="E174" s="66"/>
      <c r="F174" s="57"/>
      <c r="G174" s="58"/>
      <c r="H174" s="59"/>
      <c r="I174" s="83"/>
      <c r="J174" s="91"/>
      <c r="K174" s="67"/>
    </row>
    <row r="175" spans="1:11" ht="14.1" customHeight="1">
      <c r="A175" s="52"/>
      <c r="B175" s="177" t="s">
        <v>823</v>
      </c>
      <c r="C175" s="53"/>
      <c r="D175" s="69"/>
      <c r="E175" s="70"/>
      <c r="F175" s="71"/>
      <c r="G175" s="72"/>
      <c r="H175" s="73"/>
      <c r="I175" s="74"/>
      <c r="J175" s="75"/>
      <c r="K175" s="76"/>
    </row>
    <row r="176" spans="1:11" ht="14.1" customHeight="1">
      <c r="A176" s="52">
        <v>1</v>
      </c>
      <c r="B176" s="86" t="s">
        <v>817</v>
      </c>
      <c r="C176" s="53"/>
      <c r="D176" s="69"/>
      <c r="E176" s="70"/>
      <c r="F176" s="71"/>
      <c r="G176" s="72"/>
      <c r="H176" s="73"/>
      <c r="I176" s="74"/>
      <c r="J176" s="75"/>
      <c r="K176" s="76"/>
    </row>
    <row r="177" spans="1:11">
      <c r="A177" s="52"/>
      <c r="B177" s="133" t="s">
        <v>818</v>
      </c>
      <c r="C177" s="53"/>
      <c r="D177" s="69"/>
      <c r="E177" s="70"/>
      <c r="F177" s="71"/>
      <c r="G177" s="72"/>
      <c r="H177" s="73"/>
      <c r="I177" s="74"/>
      <c r="J177" s="75"/>
      <c r="K177" s="76"/>
    </row>
    <row r="178" spans="1:11">
      <c r="A178" s="52"/>
      <c r="B178" s="133" t="s">
        <v>819</v>
      </c>
      <c r="C178" s="53"/>
      <c r="D178" s="69"/>
      <c r="E178" s="70"/>
      <c r="F178" s="71"/>
      <c r="G178" s="72"/>
      <c r="H178" s="73"/>
      <c r="I178" s="74"/>
      <c r="J178" s="75"/>
      <c r="K178" s="76"/>
    </row>
    <row r="179" spans="1:11">
      <c r="A179" s="52"/>
      <c r="B179" s="133" t="s">
        <v>820</v>
      </c>
      <c r="C179" s="53"/>
      <c r="D179" s="69"/>
      <c r="E179" s="70"/>
      <c r="F179" s="71"/>
      <c r="G179" s="72"/>
      <c r="H179" s="73"/>
      <c r="I179" s="74"/>
      <c r="J179" s="75"/>
      <c r="K179" s="76"/>
    </row>
    <row r="180" spans="1:11">
      <c r="A180" s="52"/>
      <c r="B180" s="133" t="s">
        <v>821</v>
      </c>
      <c r="C180" s="53"/>
      <c r="D180" s="69"/>
      <c r="E180" s="70"/>
      <c r="F180" s="71"/>
      <c r="G180" s="72"/>
      <c r="H180" s="73"/>
      <c r="I180" s="74"/>
      <c r="J180" s="75"/>
      <c r="K180" s="76"/>
    </row>
    <row r="181" spans="1:11" ht="15.75">
      <c r="A181" s="52"/>
      <c r="B181" s="133" t="s">
        <v>822</v>
      </c>
      <c r="C181" s="53"/>
      <c r="D181" s="176">
        <f>Mes!J345</f>
        <v>235</v>
      </c>
      <c r="E181" s="146" t="s">
        <v>8</v>
      </c>
      <c r="F181" s="114"/>
      <c r="G181" s="154"/>
      <c r="H181" s="146"/>
      <c r="I181" s="142" t="s">
        <v>4</v>
      </c>
      <c r="J181" s="148"/>
      <c r="K181" s="149"/>
    </row>
    <row r="182" spans="1:11">
      <c r="A182" s="52"/>
      <c r="B182" s="133"/>
      <c r="C182" s="53"/>
      <c r="D182" s="69"/>
      <c r="E182" s="70"/>
      <c r="F182" s="71"/>
      <c r="G182" s="72"/>
      <c r="H182" s="73"/>
      <c r="I182" s="74"/>
      <c r="J182" s="75"/>
      <c r="K182" s="76"/>
    </row>
    <row r="183" spans="1:11">
      <c r="A183" s="52">
        <v>2</v>
      </c>
      <c r="B183" s="133" t="s">
        <v>827</v>
      </c>
      <c r="C183" s="53"/>
      <c r="D183" s="69"/>
      <c r="E183" s="70"/>
      <c r="F183" s="71"/>
      <c r="G183" s="72"/>
      <c r="H183" s="73"/>
      <c r="I183" s="74"/>
      <c r="J183" s="75"/>
      <c r="K183" s="76"/>
    </row>
    <row r="184" spans="1:11">
      <c r="A184" s="52"/>
      <c r="B184" s="133" t="s">
        <v>824</v>
      </c>
      <c r="C184" s="53"/>
      <c r="D184" s="69"/>
      <c r="E184" s="70"/>
      <c r="F184" s="71"/>
      <c r="G184" s="72"/>
      <c r="H184" s="73"/>
      <c r="I184" s="74"/>
      <c r="J184" s="75"/>
      <c r="K184" s="76"/>
    </row>
    <row r="185" spans="1:11">
      <c r="A185" s="52"/>
      <c r="B185" s="133" t="s">
        <v>825</v>
      </c>
      <c r="C185" s="53"/>
      <c r="D185" s="69"/>
      <c r="E185" s="70"/>
      <c r="F185" s="71"/>
      <c r="G185" s="72"/>
      <c r="H185" s="73"/>
      <c r="I185" s="74"/>
      <c r="J185" s="75"/>
      <c r="K185" s="76"/>
    </row>
    <row r="186" spans="1:11">
      <c r="A186" s="52"/>
      <c r="B186" s="133" t="s">
        <v>826</v>
      </c>
      <c r="C186" s="53"/>
      <c r="D186" s="69"/>
      <c r="E186" s="70"/>
      <c r="F186" s="71"/>
      <c r="G186" s="72"/>
      <c r="H186" s="73"/>
      <c r="I186" s="74"/>
      <c r="J186" s="75"/>
      <c r="K186" s="76"/>
    </row>
    <row r="187" spans="1:11" ht="15.75">
      <c r="A187" s="52"/>
      <c r="B187" s="133" t="s">
        <v>828</v>
      </c>
      <c r="C187" s="53"/>
      <c r="D187" s="176">
        <f>Mes!J363</f>
        <v>1216.5</v>
      </c>
      <c r="E187" s="146" t="s">
        <v>8</v>
      </c>
      <c r="F187" s="114"/>
      <c r="G187" s="154"/>
      <c r="H187" s="146"/>
      <c r="I187" s="142" t="s">
        <v>4</v>
      </c>
      <c r="J187" s="148"/>
      <c r="K187" s="149"/>
    </row>
    <row r="188" spans="1:11">
      <c r="A188" s="52"/>
      <c r="B188" s="133"/>
      <c r="C188" s="53"/>
      <c r="D188" s="69"/>
      <c r="E188" s="70"/>
      <c r="F188" s="71"/>
      <c r="G188" s="72"/>
      <c r="H188" s="73"/>
      <c r="I188" s="74"/>
      <c r="J188" s="75"/>
      <c r="K188" s="76"/>
    </row>
    <row r="189" spans="1:11">
      <c r="A189" s="50">
        <v>3</v>
      </c>
      <c r="B189" s="178" t="s">
        <v>841</v>
      </c>
      <c r="C189" s="53"/>
      <c r="D189" s="179"/>
      <c r="E189" s="65"/>
      <c r="F189" s="71"/>
      <c r="G189" s="72"/>
      <c r="H189" s="73"/>
      <c r="I189" s="74"/>
      <c r="J189" s="75"/>
      <c r="K189" s="76"/>
    </row>
    <row r="190" spans="1:11">
      <c r="A190" s="50"/>
      <c r="B190" s="178" t="s">
        <v>842</v>
      </c>
      <c r="C190" s="53"/>
      <c r="D190" s="179"/>
      <c r="E190" s="65"/>
      <c r="F190" s="71"/>
      <c r="G190" s="72"/>
      <c r="H190" s="73"/>
      <c r="I190" s="74"/>
      <c r="J190" s="75"/>
      <c r="K190" s="76"/>
    </row>
    <row r="191" spans="1:11">
      <c r="A191" s="50"/>
      <c r="B191" s="178" t="s">
        <v>843</v>
      </c>
      <c r="C191" s="53"/>
      <c r="D191" s="179"/>
      <c r="E191" s="65"/>
      <c r="F191" s="71"/>
      <c r="G191" s="72"/>
      <c r="H191" s="73"/>
      <c r="I191" s="74"/>
      <c r="J191" s="75"/>
      <c r="K191" s="76"/>
    </row>
    <row r="192" spans="1:11">
      <c r="A192" s="50"/>
      <c r="B192" s="178" t="s">
        <v>844</v>
      </c>
      <c r="C192" s="53"/>
      <c r="D192" s="179"/>
      <c r="E192" s="65"/>
      <c r="F192" s="71"/>
      <c r="G192" s="72"/>
      <c r="H192" s="73"/>
      <c r="I192" s="74"/>
      <c r="J192" s="75"/>
      <c r="K192" s="76"/>
    </row>
    <row r="193" spans="1:11">
      <c r="A193" s="50"/>
      <c r="B193" s="178" t="s">
        <v>845</v>
      </c>
      <c r="C193" s="53"/>
      <c r="D193" s="179"/>
      <c r="E193" s="65"/>
      <c r="F193" s="71"/>
      <c r="G193" s="72"/>
      <c r="H193" s="73"/>
      <c r="I193" s="74"/>
      <c r="J193" s="75"/>
      <c r="K193" s="76"/>
    </row>
    <row r="194" spans="1:11">
      <c r="A194" s="50"/>
      <c r="B194" s="178" t="s">
        <v>846</v>
      </c>
      <c r="C194" s="53"/>
      <c r="D194" s="179"/>
      <c r="E194" s="65"/>
      <c r="F194" s="71"/>
      <c r="G194" s="72"/>
      <c r="H194" s="73"/>
      <c r="I194" s="74"/>
      <c r="J194" s="75"/>
      <c r="K194" s="76"/>
    </row>
    <row r="195" spans="1:11">
      <c r="A195" s="50"/>
      <c r="B195" s="178" t="s">
        <v>847</v>
      </c>
      <c r="C195" s="53"/>
      <c r="D195" s="179"/>
      <c r="E195" s="65"/>
      <c r="F195" s="71"/>
      <c r="G195" s="72"/>
      <c r="H195" s="73"/>
      <c r="I195" s="74"/>
      <c r="J195" s="75"/>
      <c r="K195" s="76"/>
    </row>
    <row r="196" spans="1:11">
      <c r="A196" s="50"/>
      <c r="B196" s="178" t="s">
        <v>848</v>
      </c>
      <c r="C196" s="53"/>
      <c r="D196" s="179"/>
      <c r="E196" s="65"/>
      <c r="F196" s="71"/>
      <c r="G196" s="72"/>
      <c r="H196" s="73"/>
      <c r="I196" s="74"/>
      <c r="J196" s="75"/>
      <c r="K196" s="76"/>
    </row>
    <row r="197" spans="1:11">
      <c r="A197" s="50"/>
      <c r="B197" s="178" t="s">
        <v>849</v>
      </c>
      <c r="C197" s="53"/>
      <c r="D197" s="55">
        <f>Mes!J384</f>
        <v>2198</v>
      </c>
      <c r="E197" s="56" t="s">
        <v>8</v>
      </c>
      <c r="F197" s="57"/>
      <c r="G197" s="58"/>
      <c r="H197" s="59"/>
      <c r="I197" s="60" t="s">
        <v>4</v>
      </c>
      <c r="J197" s="61"/>
      <c r="K197" s="62"/>
    </row>
    <row r="198" spans="1:11">
      <c r="A198" s="50"/>
      <c r="B198" s="53"/>
      <c r="C198" s="53"/>
    </row>
    <row r="199" spans="1:11">
      <c r="A199" s="52">
        <v>4</v>
      </c>
      <c r="B199" s="38" t="s">
        <v>829</v>
      </c>
      <c r="C199" s="53"/>
      <c r="D199" s="87"/>
      <c r="E199" s="78"/>
      <c r="F199" s="57"/>
      <c r="G199" s="88"/>
      <c r="H199" s="59"/>
      <c r="I199" s="60"/>
      <c r="J199" s="61"/>
      <c r="K199" s="62"/>
    </row>
    <row r="200" spans="1:11">
      <c r="A200" s="52"/>
      <c r="B200" s="38" t="s">
        <v>830</v>
      </c>
      <c r="C200" s="53"/>
      <c r="D200" s="87"/>
      <c r="E200" s="78"/>
      <c r="F200" s="57"/>
      <c r="G200" s="88"/>
      <c r="H200" s="59"/>
      <c r="I200" s="60"/>
      <c r="J200" s="61"/>
      <c r="K200" s="62"/>
    </row>
    <row r="201" spans="1:11">
      <c r="A201" s="52"/>
      <c r="B201" s="38" t="s">
        <v>831</v>
      </c>
      <c r="C201" s="53"/>
      <c r="D201" s="87"/>
      <c r="E201" s="78"/>
      <c r="F201" s="57"/>
      <c r="G201" s="88"/>
      <c r="H201" s="59"/>
      <c r="I201" s="60"/>
      <c r="J201" s="61"/>
      <c r="K201" s="62"/>
    </row>
    <row r="202" spans="1:11">
      <c r="A202" s="52"/>
      <c r="B202" s="38" t="s">
        <v>832</v>
      </c>
      <c r="C202" s="53"/>
      <c r="D202" s="87"/>
      <c r="E202" s="78"/>
      <c r="F202" s="57"/>
      <c r="G202" s="88"/>
      <c r="H202" s="59"/>
      <c r="I202" s="60"/>
      <c r="J202" s="61"/>
      <c r="K202" s="62"/>
    </row>
    <row r="203" spans="1:11">
      <c r="A203" s="52"/>
      <c r="B203" s="38" t="s">
        <v>833</v>
      </c>
      <c r="C203" s="53"/>
      <c r="D203" s="69">
        <f>Mes!J387</f>
        <v>235</v>
      </c>
      <c r="E203" s="70" t="s">
        <v>8</v>
      </c>
      <c r="F203" s="71"/>
      <c r="G203" s="72"/>
      <c r="H203" s="73"/>
      <c r="I203" s="74" t="s">
        <v>4</v>
      </c>
      <c r="J203" s="75"/>
      <c r="K203" s="76"/>
    </row>
    <row r="204" spans="1:11">
      <c r="A204" s="50"/>
      <c r="B204" s="53"/>
      <c r="C204" s="53"/>
      <c r="D204" s="55"/>
      <c r="E204" s="56"/>
      <c r="F204" s="57"/>
      <c r="G204" s="58"/>
      <c r="H204" s="59"/>
      <c r="I204" s="60"/>
      <c r="J204" s="61"/>
      <c r="K204" s="62"/>
    </row>
    <row r="205" spans="1:11" ht="15.75" customHeight="1" thickBot="1">
      <c r="A205" s="50"/>
      <c r="B205" s="68"/>
      <c r="C205" s="79"/>
      <c r="D205" s="79"/>
      <c r="E205" s="66"/>
      <c r="F205" s="79"/>
      <c r="G205" s="79"/>
      <c r="H205" s="73"/>
      <c r="I205" s="80" t="s">
        <v>51</v>
      </c>
      <c r="J205" s="89"/>
      <c r="K205" s="90"/>
    </row>
    <row r="206" spans="1:11" ht="15.75" customHeight="1" thickBot="1">
      <c r="A206" s="50"/>
      <c r="B206" s="68"/>
      <c r="C206" s="79"/>
      <c r="D206" s="79"/>
      <c r="E206" s="66"/>
      <c r="F206" s="79"/>
      <c r="G206" s="79"/>
      <c r="H206" s="73"/>
      <c r="I206" s="80"/>
      <c r="J206" s="92"/>
      <c r="K206" s="182"/>
    </row>
    <row r="207" spans="1:11" ht="15" customHeight="1" thickBot="1">
      <c r="A207" s="184"/>
      <c r="B207" s="185"/>
      <c r="C207" s="186" t="s">
        <v>863</v>
      </c>
      <c r="D207" s="187"/>
      <c r="E207" s="188"/>
      <c r="F207" s="189"/>
      <c r="G207" s="190"/>
      <c r="H207" s="191"/>
      <c r="I207" s="192"/>
      <c r="J207" s="193"/>
      <c r="K207" s="194"/>
    </row>
    <row r="208" spans="1:11" ht="15" customHeight="1">
      <c r="A208" s="184"/>
      <c r="B208" s="195" t="s">
        <v>864</v>
      </c>
      <c r="C208" s="196" t="s">
        <v>865</v>
      </c>
      <c r="D208" s="196"/>
      <c r="E208" s="197"/>
      <c r="F208" s="189"/>
      <c r="G208" s="190"/>
      <c r="H208" s="198" t="s">
        <v>866</v>
      </c>
      <c r="I208" s="192"/>
      <c r="J208" s="193"/>
      <c r="K208" s="194"/>
    </row>
    <row r="209" spans="1:11" ht="15" customHeight="1">
      <c r="A209" s="184"/>
      <c r="B209" s="195" t="s">
        <v>867</v>
      </c>
      <c r="C209" s="195" t="s">
        <v>868</v>
      </c>
      <c r="D209" s="199"/>
      <c r="E209" s="197"/>
      <c r="F209" s="189"/>
      <c r="G209" s="190"/>
      <c r="H209" s="198" t="s">
        <v>866</v>
      </c>
      <c r="I209" s="192"/>
      <c r="J209" s="193"/>
      <c r="K209" s="194"/>
    </row>
    <row r="210" spans="1:11" ht="15" customHeight="1">
      <c r="A210" s="184"/>
      <c r="B210" s="195" t="s">
        <v>869</v>
      </c>
      <c r="C210" s="196" t="s">
        <v>870</v>
      </c>
      <c r="D210" s="196"/>
      <c r="E210" s="197"/>
      <c r="F210" s="189"/>
      <c r="G210" s="190"/>
      <c r="H210" s="198" t="s">
        <v>866</v>
      </c>
      <c r="I210" s="192"/>
      <c r="J210" s="193"/>
      <c r="K210" s="194"/>
    </row>
    <row r="211" spans="1:11">
      <c r="A211" s="184"/>
      <c r="B211" s="185"/>
      <c r="C211" s="185"/>
      <c r="D211" s="200" t="s">
        <v>871</v>
      </c>
      <c r="E211" s="188"/>
      <c r="F211" s="171"/>
      <c r="G211" s="190"/>
      <c r="H211" s="198" t="s">
        <v>866</v>
      </c>
      <c r="I211" s="192"/>
      <c r="J211" s="193"/>
      <c r="K211" s="194"/>
    </row>
    <row r="212" spans="1:11">
      <c r="A212" s="184"/>
      <c r="B212" s="185"/>
      <c r="C212" s="185"/>
      <c r="D212" s="200"/>
      <c r="E212" s="2"/>
      <c r="F212" s="171"/>
      <c r="G212" s="190"/>
      <c r="H212" s="198"/>
      <c r="I212" s="192"/>
      <c r="J212" s="193"/>
      <c r="K212" s="194"/>
    </row>
    <row r="213" spans="1:11">
      <c r="A213" s="184"/>
      <c r="B213" s="195" t="s">
        <v>872</v>
      </c>
      <c r="C213" s="185"/>
      <c r="D213" s="199"/>
      <c r="E213" s="188"/>
      <c r="F213" s="189"/>
      <c r="G213" s="190"/>
      <c r="H213" s="191"/>
      <c r="I213" s="192"/>
      <c r="J213" s="193"/>
      <c r="K213" s="194"/>
    </row>
    <row r="214" spans="1:11">
      <c r="A214" s="184">
        <v>1</v>
      </c>
      <c r="B214" s="201" t="s">
        <v>873</v>
      </c>
      <c r="C214" s="185"/>
      <c r="D214" s="199"/>
      <c r="E214" s="188"/>
      <c r="F214" s="189"/>
      <c r="G214" s="190"/>
      <c r="H214" s="191"/>
      <c r="I214" s="192"/>
      <c r="J214" s="193"/>
      <c r="K214" s="194"/>
    </row>
    <row r="215" spans="1:11">
      <c r="A215" s="184"/>
      <c r="B215" s="201" t="s">
        <v>874</v>
      </c>
      <c r="C215" s="185"/>
      <c r="D215" s="199"/>
      <c r="E215" s="188"/>
      <c r="F215" s="189"/>
      <c r="G215" s="190"/>
      <c r="H215" s="191"/>
      <c r="I215" s="192"/>
      <c r="J215" s="193"/>
      <c r="K215" s="194"/>
    </row>
    <row r="216" spans="1:11">
      <c r="A216" s="184">
        <v>2</v>
      </c>
      <c r="B216" s="201" t="s">
        <v>875</v>
      </c>
      <c r="C216" s="185"/>
      <c r="D216" s="199"/>
      <c r="E216" s="188"/>
      <c r="F216" s="189"/>
      <c r="G216" s="190"/>
      <c r="H216" s="191"/>
      <c r="I216" s="192"/>
      <c r="J216" s="193"/>
      <c r="K216" s="194"/>
    </row>
    <row r="217" spans="1:11">
      <c r="A217" s="184">
        <v>3</v>
      </c>
      <c r="B217" s="201" t="s">
        <v>876</v>
      </c>
      <c r="C217" s="185"/>
      <c r="D217" s="199"/>
      <c r="E217" s="188"/>
      <c r="F217" s="189"/>
      <c r="G217" s="190"/>
      <c r="H217" s="191"/>
      <c r="I217" s="192"/>
      <c r="J217" s="193"/>
      <c r="K217" s="194"/>
    </row>
    <row r="218" spans="1:11">
      <c r="A218" s="184">
        <v>4</v>
      </c>
      <c r="B218" s="201" t="s">
        <v>877</v>
      </c>
      <c r="C218" s="185"/>
      <c r="D218" s="199"/>
      <c r="E218" s="188"/>
      <c r="F218" s="189"/>
      <c r="G218" s="190"/>
      <c r="H218" s="191"/>
      <c r="I218" s="192"/>
      <c r="J218" s="193"/>
      <c r="K218" s="194"/>
    </row>
    <row r="219" spans="1:11">
      <c r="A219" s="184">
        <v>5</v>
      </c>
      <c r="B219" s="201" t="s">
        <v>878</v>
      </c>
      <c r="C219" s="185"/>
      <c r="D219" s="199"/>
      <c r="E219" s="188"/>
      <c r="F219" s="189"/>
      <c r="G219" s="190"/>
      <c r="H219" s="191"/>
      <c r="I219" s="192"/>
      <c r="J219" s="193"/>
      <c r="K219" s="194"/>
    </row>
    <row r="220" spans="1:11">
      <c r="A220" s="184">
        <v>6</v>
      </c>
      <c r="B220" s="201" t="s">
        <v>879</v>
      </c>
      <c r="C220" s="185"/>
      <c r="D220" s="199"/>
      <c r="E220" s="188"/>
      <c r="F220" s="189"/>
      <c r="G220" s="190"/>
      <c r="H220" s="191"/>
      <c r="I220" s="192"/>
      <c r="J220" s="193"/>
      <c r="K220" s="194"/>
    </row>
    <row r="221" spans="1:11">
      <c r="A221" s="184">
        <v>7</v>
      </c>
      <c r="B221" s="201" t="s">
        <v>880</v>
      </c>
      <c r="C221" s="185"/>
      <c r="D221" s="199"/>
      <c r="E221" s="188"/>
      <c r="F221" s="189"/>
      <c r="G221" s="190"/>
      <c r="H221" s="191"/>
      <c r="I221" s="192"/>
      <c r="J221" s="193"/>
      <c r="K221" s="194"/>
    </row>
    <row r="222" spans="1:11">
      <c r="A222" s="184">
        <v>8</v>
      </c>
      <c r="B222" s="201" t="s">
        <v>881</v>
      </c>
      <c r="C222" s="185"/>
      <c r="D222" s="199"/>
      <c r="E222" s="188"/>
      <c r="F222" s="189"/>
      <c r="G222" s="190"/>
      <c r="H222" s="191"/>
      <c r="I222" s="192"/>
      <c r="J222" s="193"/>
      <c r="K222" s="194"/>
    </row>
    <row r="223" spans="1:11">
      <c r="A223" s="184">
        <v>9</v>
      </c>
      <c r="B223" s="201" t="s">
        <v>882</v>
      </c>
      <c r="C223" s="185"/>
      <c r="D223" s="199"/>
      <c r="E223" s="188"/>
      <c r="F223" s="189"/>
      <c r="G223" s="190"/>
      <c r="H223" s="191"/>
      <c r="I223" s="192"/>
      <c r="J223" s="193"/>
      <c r="K223" s="194"/>
    </row>
    <row r="224" spans="1:11">
      <c r="A224" s="184">
        <v>10</v>
      </c>
      <c r="B224" s="201" t="s">
        <v>883</v>
      </c>
      <c r="C224" s="185"/>
      <c r="D224" s="199"/>
      <c r="E224" s="188"/>
      <c r="F224" s="189"/>
      <c r="G224" s="190"/>
      <c r="H224" s="191"/>
      <c r="I224" s="192"/>
      <c r="J224" s="193"/>
      <c r="K224" s="194"/>
    </row>
    <row r="225" spans="1:11">
      <c r="A225" s="184">
        <v>11</v>
      </c>
      <c r="B225" s="201" t="s">
        <v>884</v>
      </c>
      <c r="C225" s="185"/>
      <c r="D225" s="199"/>
      <c r="E225" s="188"/>
      <c r="F225" s="189"/>
      <c r="G225" s="190"/>
      <c r="H225" s="191"/>
      <c r="I225" s="192"/>
      <c r="J225" s="193"/>
      <c r="K225" s="194"/>
    </row>
    <row r="226" spans="1:11">
      <c r="A226" s="184"/>
      <c r="B226" s="201"/>
      <c r="C226" s="185"/>
      <c r="D226" s="199"/>
      <c r="E226" s="188"/>
      <c r="F226" s="189"/>
      <c r="G226" s="190"/>
      <c r="H226" s="191"/>
      <c r="I226" s="192"/>
      <c r="J226" s="193"/>
      <c r="K226" s="194"/>
    </row>
    <row r="227" spans="1:11">
      <c r="A227" s="184"/>
      <c r="B227" s="195" t="s">
        <v>885</v>
      </c>
      <c r="C227" s="185"/>
      <c r="D227" s="199"/>
      <c r="E227" s="188"/>
      <c r="F227" s="189"/>
      <c r="G227" s="190"/>
      <c r="H227" s="191"/>
      <c r="I227" s="192"/>
      <c r="J227" s="193"/>
      <c r="K227" s="194"/>
    </row>
    <row r="228" spans="1:11">
      <c r="A228" s="184"/>
      <c r="B228" s="202"/>
      <c r="C228" s="5"/>
      <c r="D228" s="199"/>
      <c r="E228" s="188"/>
      <c r="F228" s="189"/>
      <c r="G228" s="190"/>
      <c r="H228" s="191"/>
      <c r="I228" s="192"/>
      <c r="J228" s="203"/>
      <c r="K228" s="194"/>
    </row>
    <row r="229" spans="1:11">
      <c r="A229" s="6"/>
      <c r="B229" s="166"/>
      <c r="C229" s="6"/>
      <c r="D229" s="204" t="s">
        <v>0</v>
      </c>
      <c r="E229" s="7"/>
      <c r="F229" s="6"/>
      <c r="G229" s="7"/>
      <c r="H229" s="166"/>
      <c r="I229" s="184" t="s">
        <v>72</v>
      </c>
      <c r="J229" s="205"/>
      <c r="K229" s="194"/>
    </row>
    <row r="230" spans="1:11">
      <c r="A230" s="7"/>
      <c r="B230" s="202"/>
      <c r="C230" s="7"/>
      <c r="D230" s="3" t="s">
        <v>886</v>
      </c>
      <c r="E230" s="7"/>
      <c r="F230" s="188" t="s">
        <v>887</v>
      </c>
      <c r="G230" s="206"/>
      <c r="H230" s="6"/>
      <c r="I230" s="167"/>
      <c r="J230" s="166"/>
      <c r="K230" s="194"/>
    </row>
    <row r="231" spans="1:11">
      <c r="A231" s="7"/>
      <c r="B231" s="202"/>
      <c r="C231" s="207" t="s">
        <v>1</v>
      </c>
      <c r="D231" s="170"/>
      <c r="E231" s="7"/>
      <c r="F231" s="6"/>
      <c r="G231" s="7"/>
      <c r="H231" s="208" t="s">
        <v>888</v>
      </c>
      <c r="I231" s="167"/>
      <c r="J231" s="7"/>
      <c r="K231" s="194"/>
    </row>
    <row r="232" spans="1:11">
      <c r="A232" s="50"/>
      <c r="B232" s="68"/>
      <c r="C232" s="79"/>
      <c r="D232" s="79"/>
      <c r="E232" s="66"/>
      <c r="F232" s="79"/>
      <c r="G232" s="79"/>
      <c r="H232" s="73"/>
      <c r="I232" s="80"/>
      <c r="J232" s="92"/>
      <c r="K232" s="182"/>
    </row>
    <row r="233" spans="1:11">
      <c r="A233" s="38"/>
      <c r="H233" s="38"/>
    </row>
    <row r="234" spans="1:11">
      <c r="A234" s="38"/>
      <c r="H234" s="38"/>
    </row>
    <row r="235" spans="1:11">
      <c r="A235" s="38"/>
      <c r="H235" s="38"/>
    </row>
    <row r="236" spans="1:11">
      <c r="A236" s="38"/>
      <c r="H236" s="38"/>
    </row>
    <row r="237" spans="1:11">
      <c r="A237" s="38"/>
      <c r="H237" s="38"/>
    </row>
    <row r="238" spans="1:11">
      <c r="A238" s="38"/>
      <c r="H238" s="38"/>
    </row>
    <row r="239" spans="1:11">
      <c r="A239" s="50"/>
      <c r="B239" s="94"/>
      <c r="C239" s="79"/>
      <c r="D239" s="69"/>
      <c r="E239" s="70"/>
      <c r="F239" s="79"/>
      <c r="G239" s="79"/>
      <c r="H239" s="73"/>
      <c r="I239" s="80"/>
      <c r="J239" s="92"/>
    </row>
    <row r="240" spans="1:11">
      <c r="A240" s="50"/>
      <c r="B240" s="94"/>
      <c r="C240" s="79"/>
      <c r="D240" s="69"/>
      <c r="E240" s="70"/>
      <c r="F240" s="79"/>
      <c r="G240" s="79"/>
      <c r="H240" s="73"/>
      <c r="I240" s="80"/>
      <c r="J240" s="92"/>
    </row>
    <row r="241" spans="1:10">
      <c r="A241" s="50"/>
      <c r="B241" s="94"/>
      <c r="C241" s="79"/>
      <c r="D241" s="69"/>
      <c r="E241" s="70"/>
      <c r="F241" s="79"/>
      <c r="G241" s="79"/>
      <c r="H241" s="73"/>
      <c r="I241" s="80"/>
      <c r="J241" s="92"/>
    </row>
    <row r="242" spans="1:10">
      <c r="A242" s="50"/>
      <c r="B242" s="94"/>
      <c r="C242" s="79"/>
      <c r="D242" s="69"/>
      <c r="E242" s="70"/>
      <c r="F242" s="79"/>
      <c r="G242" s="79"/>
      <c r="H242" s="73"/>
      <c r="I242" s="80"/>
      <c r="J242" s="92"/>
    </row>
    <row r="243" spans="1:10">
      <c r="A243" s="50"/>
      <c r="B243" s="94"/>
      <c r="C243" s="79"/>
      <c r="D243" s="69"/>
      <c r="E243" s="70"/>
      <c r="F243" s="79"/>
      <c r="G243" s="79"/>
      <c r="H243" s="73"/>
      <c r="I243" s="80"/>
      <c r="J243" s="92"/>
    </row>
    <row r="244" spans="1:10">
      <c r="A244" s="50"/>
      <c r="B244" s="94"/>
      <c r="C244" s="79"/>
      <c r="D244" s="69"/>
      <c r="E244" s="70"/>
      <c r="F244" s="79"/>
      <c r="G244" s="79"/>
      <c r="H244" s="73"/>
      <c r="I244" s="80"/>
      <c r="J244" s="92"/>
    </row>
    <row r="245" spans="1:10">
      <c r="A245" s="50"/>
      <c r="B245" s="94"/>
      <c r="C245" s="79"/>
      <c r="D245" s="69"/>
      <c r="E245" s="70"/>
      <c r="F245" s="79"/>
      <c r="G245" s="79"/>
      <c r="H245" s="73"/>
      <c r="I245" s="80"/>
      <c r="J245" s="92"/>
    </row>
    <row r="246" spans="1:10">
      <c r="A246" s="50"/>
      <c r="B246" s="94"/>
      <c r="C246" s="79"/>
      <c r="D246" s="69"/>
      <c r="E246" s="70"/>
      <c r="F246" s="79"/>
      <c r="G246" s="79"/>
      <c r="H246" s="73"/>
      <c r="I246" s="80"/>
      <c r="J246" s="92"/>
    </row>
    <row r="247" spans="1:10">
      <c r="A247" s="50"/>
      <c r="B247" s="94"/>
      <c r="C247" s="79"/>
      <c r="D247" s="69"/>
      <c r="E247" s="70"/>
      <c r="F247" s="79"/>
      <c r="G247" s="79"/>
      <c r="H247" s="73"/>
      <c r="I247" s="80"/>
      <c r="J247" s="92"/>
    </row>
    <row r="248" spans="1:10">
      <c r="A248" s="50"/>
      <c r="B248" s="94"/>
      <c r="C248" s="79"/>
      <c r="D248" s="69"/>
      <c r="E248" s="70"/>
      <c r="F248" s="79"/>
      <c r="G248" s="79"/>
      <c r="H248" s="73"/>
      <c r="I248" s="80"/>
      <c r="J248" s="92"/>
    </row>
    <row r="249" spans="1:10">
      <c r="A249" s="50"/>
      <c r="B249" s="94"/>
      <c r="C249" s="79"/>
      <c r="D249" s="69"/>
      <c r="E249" s="70"/>
      <c r="F249" s="79"/>
      <c r="G249" s="79"/>
      <c r="H249" s="73"/>
      <c r="I249" s="80"/>
      <c r="J249" s="92"/>
    </row>
    <row r="250" spans="1:10">
      <c r="A250" s="50"/>
      <c r="B250" s="94"/>
      <c r="C250" s="79"/>
      <c r="D250" s="69"/>
      <c r="E250" s="70"/>
      <c r="F250" s="79"/>
      <c r="G250" s="79"/>
      <c r="H250" s="73"/>
      <c r="I250" s="80"/>
      <c r="J250" s="92"/>
    </row>
    <row r="251" spans="1:10">
      <c r="A251" s="50"/>
      <c r="B251" s="94"/>
      <c r="C251" s="79"/>
      <c r="D251" s="69"/>
      <c r="E251" s="70"/>
      <c r="F251" s="79"/>
      <c r="G251" s="79"/>
      <c r="H251" s="73"/>
      <c r="I251" s="80"/>
      <c r="J251" s="92"/>
    </row>
    <row r="252" spans="1:10">
      <c r="A252" s="50"/>
      <c r="B252" s="94"/>
      <c r="C252" s="79"/>
      <c r="D252" s="69"/>
      <c r="E252" s="70"/>
      <c r="F252" s="79"/>
      <c r="G252" s="79"/>
      <c r="H252" s="73"/>
      <c r="I252" s="80"/>
      <c r="J252" s="92"/>
    </row>
    <row r="253" spans="1:10">
      <c r="A253" s="50"/>
      <c r="B253" s="94"/>
      <c r="C253" s="79"/>
      <c r="D253" s="69"/>
      <c r="E253" s="70"/>
      <c r="F253" s="79"/>
      <c r="G253" s="79"/>
      <c r="H253" s="73"/>
      <c r="I253" s="80"/>
      <c r="J253" s="92"/>
    </row>
    <row r="254" spans="1:10">
      <c r="A254" s="50"/>
      <c r="B254" s="94"/>
      <c r="C254" s="79"/>
      <c r="D254" s="69"/>
      <c r="E254" s="70"/>
      <c r="F254" s="79"/>
      <c r="G254" s="79"/>
      <c r="H254" s="73"/>
      <c r="I254" s="80"/>
      <c r="J254" s="92"/>
    </row>
    <row r="255" spans="1:10">
      <c r="A255" s="50"/>
      <c r="B255" s="94"/>
      <c r="C255" s="79"/>
      <c r="D255" s="69"/>
      <c r="E255" s="70"/>
      <c r="F255" s="79"/>
      <c r="G255" s="79"/>
      <c r="H255" s="73"/>
      <c r="I255" s="80"/>
      <c r="J255" s="92"/>
    </row>
    <row r="256" spans="1:10">
      <c r="A256" s="50"/>
      <c r="B256" s="94"/>
      <c r="C256" s="79"/>
      <c r="D256" s="69"/>
      <c r="E256" s="70"/>
      <c r="F256" s="79"/>
      <c r="G256" s="79"/>
      <c r="H256" s="73"/>
      <c r="I256" s="80"/>
      <c r="J256" s="92"/>
    </row>
    <row r="257" spans="1:10">
      <c r="A257" s="50"/>
      <c r="B257" s="94"/>
      <c r="C257" s="79"/>
      <c r="D257" s="69"/>
      <c r="E257" s="70"/>
      <c r="F257" s="71"/>
      <c r="G257" s="72"/>
      <c r="H257" s="73"/>
      <c r="I257" s="74"/>
      <c r="J257" s="75"/>
    </row>
    <row r="258" spans="1:10">
      <c r="A258" s="38"/>
      <c r="B258" s="94"/>
      <c r="C258" s="79"/>
      <c r="D258" s="69"/>
      <c r="H258" s="38"/>
    </row>
    <row r="259" spans="1:10">
      <c r="A259" s="38"/>
      <c r="H259" s="38"/>
    </row>
    <row r="260" spans="1:10">
      <c r="A260" s="38"/>
      <c r="H260" s="38"/>
    </row>
    <row r="261" spans="1:10">
      <c r="A261" s="38"/>
      <c r="H261" s="38"/>
    </row>
    <row r="262" spans="1:10">
      <c r="A262" s="38"/>
      <c r="H262" s="38"/>
    </row>
    <row r="263" spans="1:10">
      <c r="A263" s="38"/>
      <c r="H263" s="38"/>
    </row>
    <row r="264" spans="1:10">
      <c r="A264" s="38"/>
      <c r="H264" s="38"/>
    </row>
    <row r="265" spans="1:10">
      <c r="A265" s="38"/>
      <c r="H265" s="38"/>
    </row>
    <row r="266" spans="1:10">
      <c r="A266" s="38"/>
      <c r="H266" s="38"/>
    </row>
    <row r="267" spans="1:10">
      <c r="A267" s="38"/>
      <c r="H267" s="38"/>
    </row>
    <row r="268" spans="1:10">
      <c r="A268" s="38"/>
      <c r="H268" s="38"/>
    </row>
    <row r="269" spans="1:10">
      <c r="A269" s="38"/>
      <c r="H269" s="38"/>
    </row>
    <row r="270" spans="1:10">
      <c r="A270" s="38"/>
      <c r="H270" s="38"/>
    </row>
    <row r="271" spans="1:10">
      <c r="A271" s="38"/>
      <c r="H271" s="38"/>
    </row>
    <row r="272" spans="1:10">
      <c r="A272" s="38"/>
      <c r="H272" s="38"/>
    </row>
    <row r="273" spans="1:8">
      <c r="A273" s="38"/>
      <c r="H273" s="38"/>
    </row>
    <row r="274" spans="1:8">
      <c r="A274" s="38"/>
      <c r="H274" s="38"/>
    </row>
    <row r="275" spans="1:8">
      <c r="A275" s="38"/>
      <c r="H275" s="38"/>
    </row>
    <row r="276" spans="1:8">
      <c r="A276" s="38"/>
      <c r="H276" s="38"/>
    </row>
    <row r="277" spans="1:8">
      <c r="A277" s="38"/>
      <c r="H277" s="38"/>
    </row>
    <row r="278" spans="1:8">
      <c r="A278" s="38"/>
      <c r="H278" s="38"/>
    </row>
    <row r="279" spans="1:8">
      <c r="A279" s="38"/>
      <c r="H279" s="38"/>
    </row>
    <row r="280" spans="1:8">
      <c r="A280" s="38"/>
      <c r="H280" s="38"/>
    </row>
    <row r="281" spans="1:8">
      <c r="A281" s="38"/>
      <c r="H281" s="38"/>
    </row>
    <row r="282" spans="1:8">
      <c r="A282" s="38"/>
      <c r="H282" s="38"/>
    </row>
    <row r="283" spans="1:8">
      <c r="A283" s="38"/>
      <c r="H283" s="38"/>
    </row>
    <row r="284" spans="1:8">
      <c r="A284" s="38"/>
      <c r="H284" s="38"/>
    </row>
    <row r="285" spans="1:8">
      <c r="A285" s="38"/>
      <c r="H285" s="38"/>
    </row>
    <row r="286" spans="1:8">
      <c r="A286" s="38"/>
      <c r="H286" s="38"/>
    </row>
    <row r="287" spans="1:8">
      <c r="A287" s="38"/>
      <c r="H287" s="38"/>
    </row>
    <row r="288" spans="1:8">
      <c r="A288" s="38"/>
      <c r="H288" s="38"/>
    </row>
    <row r="289" spans="1:8">
      <c r="A289" s="38"/>
      <c r="H289" s="38"/>
    </row>
    <row r="290" spans="1:8">
      <c r="A290" s="38"/>
      <c r="H290" s="38"/>
    </row>
    <row r="291" spans="1:8">
      <c r="A291" s="38"/>
      <c r="H291" s="38"/>
    </row>
    <row r="292" spans="1:8">
      <c r="A292" s="38"/>
      <c r="H292" s="38"/>
    </row>
    <row r="293" spans="1:8">
      <c r="A293" s="38"/>
      <c r="H293" s="38"/>
    </row>
    <row r="294" spans="1:8">
      <c r="A294" s="38"/>
      <c r="H294" s="38"/>
    </row>
    <row r="295" spans="1:8">
      <c r="A295" s="38"/>
      <c r="H295" s="38"/>
    </row>
    <row r="296" spans="1:8">
      <c r="A296" s="38"/>
      <c r="H296" s="38"/>
    </row>
    <row r="297" spans="1:8">
      <c r="A297" s="38"/>
      <c r="H297" s="38"/>
    </row>
    <row r="298" spans="1:8">
      <c r="A298" s="38"/>
      <c r="H298" s="38"/>
    </row>
    <row r="299" spans="1:8">
      <c r="A299" s="38"/>
      <c r="H299" s="38"/>
    </row>
    <row r="300" spans="1:8">
      <c r="A300" s="38"/>
      <c r="H300" s="38"/>
    </row>
    <row r="301" spans="1:8">
      <c r="A301" s="38"/>
      <c r="H301" s="38"/>
    </row>
    <row r="302" spans="1:8">
      <c r="A302" s="38"/>
      <c r="H302" s="38"/>
    </row>
    <row r="303" spans="1:8">
      <c r="A303" s="38"/>
      <c r="H303" s="38"/>
    </row>
    <row r="304" spans="1:8">
      <c r="A304" s="38"/>
      <c r="H304" s="38"/>
    </row>
    <row r="305" spans="1:8">
      <c r="A305" s="38"/>
      <c r="H305" s="38"/>
    </row>
    <row r="306" spans="1:8">
      <c r="A306" s="38"/>
      <c r="H306" s="38"/>
    </row>
    <row r="307" spans="1:8">
      <c r="A307" s="38"/>
      <c r="H307" s="38"/>
    </row>
    <row r="308" spans="1:8">
      <c r="A308" s="38"/>
      <c r="H308" s="38"/>
    </row>
    <row r="309" spans="1:8">
      <c r="A309" s="38"/>
      <c r="H309" s="38"/>
    </row>
    <row r="310" spans="1:8">
      <c r="A310" s="38"/>
      <c r="H310" s="38"/>
    </row>
    <row r="311" spans="1:8">
      <c r="A311" s="38"/>
      <c r="H311" s="38"/>
    </row>
    <row r="312" spans="1:8">
      <c r="A312" s="38"/>
      <c r="H312" s="38"/>
    </row>
    <row r="313" spans="1:8">
      <c r="A313" s="38"/>
      <c r="H313" s="38"/>
    </row>
    <row r="314" spans="1:8">
      <c r="A314" s="38"/>
      <c r="H314" s="38"/>
    </row>
    <row r="315" spans="1:8">
      <c r="A315" s="38"/>
      <c r="H315" s="38"/>
    </row>
    <row r="316" spans="1:8">
      <c r="A316" s="38"/>
      <c r="H316" s="38"/>
    </row>
    <row r="317" spans="1:8">
      <c r="A317" s="38"/>
      <c r="H317" s="38"/>
    </row>
    <row r="318" spans="1:8">
      <c r="A318" s="38"/>
      <c r="H318" s="38"/>
    </row>
    <row r="319" spans="1:8">
      <c r="A319" s="38"/>
      <c r="H319" s="38"/>
    </row>
    <row r="320" spans="1:8">
      <c r="A320" s="38"/>
      <c r="H320" s="38"/>
    </row>
    <row r="321" spans="1:8">
      <c r="A321" s="38"/>
      <c r="H321" s="38"/>
    </row>
    <row r="322" spans="1:8">
      <c r="A322" s="38"/>
      <c r="H322" s="38"/>
    </row>
    <row r="323" spans="1:8">
      <c r="A323" s="38"/>
      <c r="H323" s="38"/>
    </row>
    <row r="324" spans="1:8">
      <c r="A324" s="38"/>
      <c r="H324" s="38"/>
    </row>
    <row r="325" spans="1:8">
      <c r="A325" s="38"/>
      <c r="H325" s="38"/>
    </row>
    <row r="326" spans="1:8">
      <c r="A326" s="38"/>
      <c r="H326" s="38"/>
    </row>
    <row r="327" spans="1:8">
      <c r="A327" s="38"/>
      <c r="H327" s="38"/>
    </row>
    <row r="328" spans="1:8">
      <c r="A328" s="38"/>
      <c r="H328" s="38"/>
    </row>
    <row r="329" spans="1:8">
      <c r="A329" s="38"/>
      <c r="H329" s="38"/>
    </row>
    <row r="330" spans="1:8">
      <c r="A330" s="38"/>
      <c r="H330" s="38"/>
    </row>
    <row r="331" spans="1:8">
      <c r="A331" s="38"/>
      <c r="H331" s="38"/>
    </row>
    <row r="332" spans="1:8">
      <c r="A332" s="38"/>
      <c r="H332" s="38"/>
    </row>
    <row r="333" spans="1:8">
      <c r="A333" s="38"/>
      <c r="H333" s="38"/>
    </row>
    <row r="334" spans="1:8">
      <c r="A334" s="38"/>
      <c r="H334" s="38"/>
    </row>
    <row r="335" spans="1:8">
      <c r="A335" s="38"/>
      <c r="H335" s="38"/>
    </row>
    <row r="336" spans="1:8">
      <c r="A336" s="38"/>
      <c r="H336" s="38"/>
    </row>
    <row r="337" spans="1:8">
      <c r="A337" s="38"/>
      <c r="H337" s="38"/>
    </row>
    <row r="338" spans="1:8">
      <c r="A338" s="38"/>
      <c r="H338" s="38"/>
    </row>
    <row r="339" spans="1:8">
      <c r="A339" s="38"/>
      <c r="H339" s="38"/>
    </row>
    <row r="340" spans="1:8">
      <c r="A340" s="38"/>
      <c r="H340" s="38"/>
    </row>
    <row r="341" spans="1:8">
      <c r="A341" s="38"/>
      <c r="H341" s="38"/>
    </row>
    <row r="342" spans="1:8">
      <c r="A342" s="38"/>
      <c r="H342" s="38"/>
    </row>
    <row r="343" spans="1:8">
      <c r="A343" s="38"/>
      <c r="H343" s="38"/>
    </row>
    <row r="344" spans="1:8">
      <c r="A344" s="38"/>
      <c r="H344" s="38"/>
    </row>
    <row r="345" spans="1:8">
      <c r="A345" s="38"/>
      <c r="H345" s="38"/>
    </row>
    <row r="346" spans="1:8">
      <c r="A346" s="38"/>
      <c r="H346" s="38"/>
    </row>
    <row r="347" spans="1:8">
      <c r="A347" s="38"/>
      <c r="H347" s="38"/>
    </row>
    <row r="348" spans="1:8">
      <c r="A348" s="38"/>
      <c r="H348" s="38"/>
    </row>
    <row r="349" spans="1:8">
      <c r="A349" s="38"/>
      <c r="H349" s="38"/>
    </row>
    <row r="350" spans="1:8">
      <c r="A350" s="38"/>
      <c r="H350" s="38"/>
    </row>
    <row r="351" spans="1:8">
      <c r="A351" s="38"/>
      <c r="H351" s="38"/>
    </row>
    <row r="352" spans="1:8">
      <c r="A352" s="38"/>
      <c r="H352" s="38"/>
    </row>
    <row r="353" spans="1:8">
      <c r="A353" s="38"/>
      <c r="H353" s="38"/>
    </row>
    <row r="354" spans="1:8">
      <c r="A354" s="38"/>
      <c r="H354" s="38"/>
    </row>
    <row r="355" spans="1:8">
      <c r="A355" s="38"/>
      <c r="H355" s="38"/>
    </row>
    <row r="356" spans="1:8">
      <c r="A356" s="38"/>
      <c r="H356" s="38"/>
    </row>
    <row r="357" spans="1:8">
      <c r="A357" s="38"/>
      <c r="H357" s="38"/>
    </row>
    <row r="358" spans="1:8">
      <c r="A358" s="38"/>
      <c r="H358" s="38"/>
    </row>
    <row r="359" spans="1:8">
      <c r="A359" s="38"/>
      <c r="H359" s="38"/>
    </row>
    <row r="360" spans="1:8">
      <c r="A360" s="38"/>
      <c r="H360" s="38"/>
    </row>
    <row r="361" spans="1:8">
      <c r="A361" s="38"/>
      <c r="H361" s="38"/>
    </row>
    <row r="362" spans="1:8">
      <c r="A362" s="38"/>
      <c r="H362" s="38"/>
    </row>
    <row r="363" spans="1:8">
      <c r="A363" s="38"/>
      <c r="H363" s="38"/>
    </row>
    <row r="364" spans="1:8">
      <c r="A364" s="38"/>
      <c r="H364" s="38"/>
    </row>
    <row r="365" spans="1:8">
      <c r="A365" s="38"/>
      <c r="H365" s="38"/>
    </row>
    <row r="366" spans="1:8">
      <c r="A366" s="38"/>
      <c r="H366" s="38"/>
    </row>
    <row r="367" spans="1:8">
      <c r="A367" s="38"/>
      <c r="H367" s="38"/>
    </row>
    <row r="368" spans="1:8">
      <c r="A368" s="38"/>
      <c r="H368" s="38"/>
    </row>
    <row r="369" spans="1:8">
      <c r="A369" s="38"/>
      <c r="H369" s="38"/>
    </row>
    <row r="370" spans="1:8">
      <c r="A370" s="38"/>
      <c r="H370" s="38"/>
    </row>
    <row r="371" spans="1:8">
      <c r="A371" s="38"/>
      <c r="H371" s="38"/>
    </row>
    <row r="372" spans="1:8">
      <c r="A372" s="38"/>
      <c r="H372" s="38"/>
    </row>
    <row r="373" spans="1:8">
      <c r="A373" s="38"/>
      <c r="H373" s="38"/>
    </row>
    <row r="374" spans="1:8">
      <c r="A374" s="38"/>
      <c r="H374" s="38"/>
    </row>
    <row r="375" spans="1:8">
      <c r="A375" s="38"/>
      <c r="H375" s="38"/>
    </row>
    <row r="376" spans="1:8">
      <c r="A376" s="38"/>
      <c r="H376" s="38"/>
    </row>
    <row r="377" spans="1:8">
      <c r="A377" s="38"/>
      <c r="H377" s="38"/>
    </row>
    <row r="378" spans="1:8">
      <c r="A378" s="38"/>
      <c r="H378" s="38"/>
    </row>
    <row r="379" spans="1:8">
      <c r="A379" s="38"/>
      <c r="H379" s="38"/>
    </row>
    <row r="380" spans="1:8">
      <c r="A380" s="38"/>
      <c r="H380" s="38"/>
    </row>
    <row r="381" spans="1:8">
      <c r="A381" s="38"/>
      <c r="H381" s="38"/>
    </row>
    <row r="382" spans="1:8">
      <c r="A382" s="38"/>
      <c r="H382" s="38"/>
    </row>
    <row r="383" spans="1:8">
      <c r="A383" s="38"/>
      <c r="H383" s="38"/>
    </row>
    <row r="384" spans="1:8">
      <c r="A384" s="38"/>
      <c r="H384" s="38"/>
    </row>
    <row r="385" spans="1:8">
      <c r="A385" s="38"/>
      <c r="H385" s="38"/>
    </row>
    <row r="386" spans="1:8">
      <c r="A386" s="38"/>
      <c r="H386" s="38"/>
    </row>
    <row r="387" spans="1:8">
      <c r="A387" s="38"/>
      <c r="H387" s="38"/>
    </row>
    <row r="388" spans="1:8">
      <c r="A388" s="38"/>
      <c r="H388" s="38"/>
    </row>
    <row r="389" spans="1:8">
      <c r="A389" s="38"/>
      <c r="H389" s="38"/>
    </row>
    <row r="390" spans="1:8">
      <c r="A390" s="38"/>
      <c r="H390" s="38"/>
    </row>
    <row r="391" spans="1:8">
      <c r="A391" s="38"/>
      <c r="H391" s="38"/>
    </row>
    <row r="392" spans="1:8">
      <c r="A392" s="38"/>
      <c r="H392" s="38"/>
    </row>
    <row r="393" spans="1:8">
      <c r="A393" s="38"/>
      <c r="H393" s="38"/>
    </row>
    <row r="394" spans="1:8">
      <c r="A394" s="38"/>
      <c r="H394" s="38"/>
    </row>
    <row r="395" spans="1:8">
      <c r="A395" s="38"/>
      <c r="H395" s="38"/>
    </row>
    <row r="396" spans="1:8">
      <c r="A396" s="38"/>
      <c r="H396" s="38"/>
    </row>
    <row r="397" spans="1:8">
      <c r="A397" s="38"/>
      <c r="H397" s="38"/>
    </row>
    <row r="398" spans="1:8">
      <c r="A398" s="38"/>
      <c r="H398" s="38"/>
    </row>
    <row r="399" spans="1:8">
      <c r="A399" s="38"/>
      <c r="H399" s="38"/>
    </row>
    <row r="400" spans="1:8">
      <c r="A400" s="38"/>
      <c r="H400" s="38"/>
    </row>
    <row r="401" spans="1:8">
      <c r="A401" s="38"/>
      <c r="H401" s="38"/>
    </row>
    <row r="402" spans="1:8">
      <c r="A402" s="38"/>
      <c r="H402" s="38"/>
    </row>
    <row r="403" spans="1:8">
      <c r="A403" s="38"/>
      <c r="H403" s="38"/>
    </row>
    <row r="404" spans="1:8">
      <c r="A404" s="38"/>
      <c r="H404" s="38"/>
    </row>
    <row r="405" spans="1:8">
      <c r="A405" s="38"/>
      <c r="H405" s="38"/>
    </row>
    <row r="406" spans="1:8">
      <c r="A406" s="38"/>
      <c r="H406" s="38"/>
    </row>
    <row r="407" spans="1:8">
      <c r="A407" s="38"/>
      <c r="H407" s="38"/>
    </row>
    <row r="408" spans="1:8">
      <c r="A408" s="38"/>
      <c r="H408" s="38"/>
    </row>
    <row r="409" spans="1:8">
      <c r="A409" s="38"/>
      <c r="H409" s="38"/>
    </row>
    <row r="410" spans="1:8">
      <c r="A410" s="38"/>
      <c r="H410" s="38"/>
    </row>
    <row r="411" spans="1:8">
      <c r="A411" s="38"/>
      <c r="H411" s="38"/>
    </row>
    <row r="412" spans="1:8">
      <c r="A412" s="38"/>
      <c r="H412" s="38"/>
    </row>
    <row r="413" spans="1:8">
      <c r="A413" s="38"/>
      <c r="H413" s="38"/>
    </row>
    <row r="414" spans="1:8">
      <c r="A414" s="38"/>
      <c r="H414" s="38"/>
    </row>
    <row r="415" spans="1:8">
      <c r="A415" s="38"/>
      <c r="H415" s="38"/>
    </row>
    <row r="416" spans="1:8">
      <c r="A416" s="38"/>
      <c r="H416" s="38"/>
    </row>
    <row r="417" spans="1:8">
      <c r="A417" s="38"/>
      <c r="H417" s="38"/>
    </row>
    <row r="418" spans="1:8">
      <c r="A418" s="38"/>
      <c r="H418" s="38"/>
    </row>
    <row r="419" spans="1:8">
      <c r="A419" s="38"/>
      <c r="H419" s="38"/>
    </row>
    <row r="420" spans="1:8">
      <c r="A420" s="38"/>
      <c r="H420" s="38"/>
    </row>
    <row r="421" spans="1:8">
      <c r="A421" s="38"/>
      <c r="H421" s="38"/>
    </row>
    <row r="422" spans="1:8">
      <c r="A422" s="38"/>
      <c r="H422" s="38"/>
    </row>
    <row r="423" spans="1:8">
      <c r="A423" s="38"/>
      <c r="H423" s="38"/>
    </row>
    <row r="424" spans="1:8">
      <c r="A424" s="38"/>
      <c r="H424" s="38"/>
    </row>
    <row r="425" spans="1:8">
      <c r="A425" s="38"/>
      <c r="H425" s="38"/>
    </row>
    <row r="426" spans="1:8">
      <c r="A426" s="38"/>
      <c r="H426" s="38"/>
    </row>
    <row r="427" spans="1:8">
      <c r="A427" s="38"/>
      <c r="H427" s="38"/>
    </row>
    <row r="428" spans="1:8">
      <c r="A428" s="38"/>
      <c r="H428" s="38"/>
    </row>
    <row r="429" spans="1:8">
      <c r="A429" s="38"/>
      <c r="H429" s="38"/>
    </row>
    <row r="430" spans="1:8">
      <c r="A430" s="38"/>
      <c r="H430" s="38"/>
    </row>
    <row r="431" spans="1:8">
      <c r="A431" s="38"/>
      <c r="H431" s="38"/>
    </row>
    <row r="432" spans="1:8">
      <c r="A432" s="38"/>
      <c r="H432" s="38"/>
    </row>
    <row r="433" spans="1:8">
      <c r="A433" s="38"/>
      <c r="H433" s="38"/>
    </row>
    <row r="434" spans="1:8">
      <c r="A434" s="38"/>
      <c r="H434" s="38"/>
    </row>
    <row r="435" spans="1:8">
      <c r="A435" s="38"/>
      <c r="H435" s="38"/>
    </row>
    <row r="436" spans="1:8">
      <c r="A436" s="38"/>
      <c r="H436" s="38"/>
    </row>
    <row r="437" spans="1:8">
      <c r="A437" s="38"/>
      <c r="H437" s="38"/>
    </row>
    <row r="438" spans="1:8">
      <c r="A438" s="38"/>
      <c r="H438" s="38"/>
    </row>
    <row r="439" spans="1:8">
      <c r="A439" s="38"/>
      <c r="H439" s="38"/>
    </row>
    <row r="440" spans="1:8">
      <c r="A440" s="38"/>
      <c r="H440" s="38"/>
    </row>
    <row r="441" spans="1:8">
      <c r="A441" s="38"/>
      <c r="H441" s="38"/>
    </row>
    <row r="442" spans="1:8">
      <c r="A442" s="38"/>
      <c r="H442" s="38"/>
    </row>
    <row r="443" spans="1:8">
      <c r="A443" s="38"/>
      <c r="H443" s="38"/>
    </row>
    <row r="444" spans="1:8">
      <c r="A444" s="38"/>
      <c r="H444" s="38"/>
    </row>
    <row r="445" spans="1:8">
      <c r="A445" s="38"/>
      <c r="H445" s="38"/>
    </row>
    <row r="446" spans="1:8">
      <c r="A446" s="38"/>
      <c r="H446" s="38"/>
    </row>
    <row r="447" spans="1:8">
      <c r="A447" s="38"/>
      <c r="H447" s="38"/>
    </row>
    <row r="448" spans="1:8">
      <c r="A448" s="38"/>
      <c r="H448" s="38"/>
    </row>
    <row r="449" spans="1:8">
      <c r="A449" s="38"/>
      <c r="H449" s="38"/>
    </row>
    <row r="450" spans="1:8">
      <c r="A450" s="38"/>
      <c r="H450" s="38"/>
    </row>
    <row r="451" spans="1:8">
      <c r="A451" s="38"/>
      <c r="H451" s="38"/>
    </row>
    <row r="452" spans="1:8">
      <c r="A452" s="38"/>
      <c r="H452" s="38"/>
    </row>
    <row r="453" spans="1:8">
      <c r="A453" s="38"/>
      <c r="H453" s="38"/>
    </row>
    <row r="454" spans="1:8">
      <c r="A454" s="38"/>
      <c r="H454" s="38"/>
    </row>
    <row r="455" spans="1:8">
      <c r="A455" s="38"/>
      <c r="H455" s="38"/>
    </row>
    <row r="456" spans="1:8">
      <c r="A456" s="38"/>
      <c r="H456" s="38"/>
    </row>
    <row r="457" spans="1:8">
      <c r="A457" s="38"/>
      <c r="H457" s="38"/>
    </row>
    <row r="458" spans="1:8">
      <c r="A458" s="38"/>
      <c r="H458" s="38"/>
    </row>
    <row r="459" spans="1:8">
      <c r="A459" s="38"/>
      <c r="H459" s="38"/>
    </row>
    <row r="460" spans="1:8">
      <c r="A460" s="38"/>
      <c r="H460" s="38"/>
    </row>
    <row r="461" spans="1:8">
      <c r="A461" s="38"/>
      <c r="H461" s="38"/>
    </row>
    <row r="462" spans="1:8">
      <c r="A462" s="38"/>
      <c r="H462" s="38"/>
    </row>
    <row r="463" spans="1:8">
      <c r="A463" s="38"/>
      <c r="H463" s="38"/>
    </row>
    <row r="464" spans="1:8">
      <c r="A464" s="38"/>
      <c r="H464" s="38"/>
    </row>
    <row r="465" spans="1:8">
      <c r="A465" s="38"/>
      <c r="H465" s="38"/>
    </row>
    <row r="466" spans="1:8">
      <c r="A466" s="38"/>
      <c r="H466" s="38"/>
    </row>
    <row r="467" spans="1:8">
      <c r="A467" s="38"/>
      <c r="H467" s="38"/>
    </row>
    <row r="468" spans="1:8">
      <c r="A468" s="38"/>
      <c r="H468" s="38"/>
    </row>
    <row r="469" spans="1:8">
      <c r="A469" s="38"/>
      <c r="H469" s="38"/>
    </row>
    <row r="470" spans="1:8">
      <c r="A470" s="38"/>
      <c r="H470" s="38"/>
    </row>
    <row r="471" spans="1:8">
      <c r="A471" s="38"/>
      <c r="H471" s="38"/>
    </row>
    <row r="472" spans="1:8">
      <c r="A472" s="38"/>
      <c r="H472" s="38"/>
    </row>
    <row r="473" spans="1:8">
      <c r="A473" s="38"/>
      <c r="H473" s="38"/>
    </row>
    <row r="474" spans="1:8">
      <c r="A474" s="38"/>
      <c r="H474" s="38"/>
    </row>
    <row r="475" spans="1:8">
      <c r="A475" s="38"/>
      <c r="H475" s="38"/>
    </row>
    <row r="476" spans="1:8">
      <c r="A476" s="38"/>
      <c r="H476" s="38"/>
    </row>
    <row r="477" spans="1:8">
      <c r="A477" s="38"/>
      <c r="H477" s="38"/>
    </row>
    <row r="478" spans="1:8">
      <c r="A478" s="38"/>
      <c r="H478" s="38"/>
    </row>
    <row r="479" spans="1:8">
      <c r="A479" s="38"/>
      <c r="H479" s="38"/>
    </row>
    <row r="480" spans="1:8">
      <c r="A480" s="38"/>
      <c r="H480" s="38"/>
    </row>
    <row r="481" spans="1:8">
      <c r="A481" s="38"/>
      <c r="H481" s="38"/>
    </row>
    <row r="482" spans="1:8">
      <c r="A482" s="38"/>
      <c r="H482" s="38"/>
    </row>
    <row r="483" spans="1:8">
      <c r="A483" s="38"/>
      <c r="H483" s="38"/>
    </row>
    <row r="484" spans="1:8">
      <c r="A484" s="38"/>
      <c r="H484" s="38"/>
    </row>
    <row r="485" spans="1:8">
      <c r="A485" s="38"/>
      <c r="H485" s="38"/>
    </row>
    <row r="486" spans="1:8">
      <c r="A486" s="38"/>
      <c r="H486" s="38"/>
    </row>
    <row r="487" spans="1:8">
      <c r="A487" s="38"/>
      <c r="H487" s="38"/>
    </row>
    <row r="488" spans="1:8">
      <c r="A488" s="38"/>
      <c r="H488" s="38"/>
    </row>
    <row r="489" spans="1:8">
      <c r="A489" s="38"/>
      <c r="H489" s="38"/>
    </row>
    <row r="490" spans="1:8">
      <c r="A490" s="38"/>
      <c r="H490" s="38"/>
    </row>
    <row r="491" spans="1:8">
      <c r="A491" s="38"/>
      <c r="H491" s="38"/>
    </row>
    <row r="492" spans="1:8">
      <c r="A492" s="38"/>
      <c r="H492" s="38"/>
    </row>
    <row r="493" spans="1:8">
      <c r="A493" s="38"/>
      <c r="H493" s="38"/>
    </row>
    <row r="494" spans="1:8">
      <c r="A494" s="38"/>
      <c r="H494" s="38"/>
    </row>
    <row r="495" spans="1:8">
      <c r="A495" s="38"/>
      <c r="H495" s="38"/>
    </row>
  </sheetData>
  <mergeCells count="27">
    <mergeCell ref="D166:K166"/>
    <mergeCell ref="D170:K170"/>
    <mergeCell ref="D143:K143"/>
    <mergeCell ref="D148:K148"/>
    <mergeCell ref="D150:K150"/>
    <mergeCell ref="D153:K153"/>
    <mergeCell ref="D159:K159"/>
    <mergeCell ref="D109:K109"/>
    <mergeCell ref="D118:K118"/>
    <mergeCell ref="D128:K128"/>
    <mergeCell ref="D135:K135"/>
    <mergeCell ref="D140:K140"/>
    <mergeCell ref="D70:K70"/>
    <mergeCell ref="D73:K73"/>
    <mergeCell ref="D86:K86"/>
    <mergeCell ref="D100:K100"/>
    <mergeCell ref="D106:K106"/>
    <mergeCell ref="D42:K42"/>
    <mergeCell ref="D49:K49"/>
    <mergeCell ref="D53:K53"/>
    <mergeCell ref="D61:K61"/>
    <mergeCell ref="D65:K65"/>
    <mergeCell ref="C1:K3"/>
    <mergeCell ref="D15:K15"/>
    <mergeCell ref="D19:K19"/>
    <mergeCell ref="D22:K22"/>
    <mergeCell ref="D28:K28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96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41" t="s">
        <v>3</v>
      </c>
      <c r="B1" s="241"/>
      <c r="C1" s="227" t="s">
        <v>78</v>
      </c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7.25" customHeight="1"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5.75">
      <c r="D4" s="11" t="s">
        <v>16</v>
      </c>
      <c r="H4" s="14"/>
    </row>
    <row r="5" spans="1:11" ht="15" customHeight="1">
      <c r="F5" s="11"/>
    </row>
    <row r="6" spans="1:11" ht="15" customHeight="1">
      <c r="A6" s="34" t="s">
        <v>15</v>
      </c>
      <c r="B6" s="242" t="s">
        <v>17</v>
      </c>
      <c r="C6" s="242"/>
      <c r="D6" s="242"/>
      <c r="E6" s="243" t="s">
        <v>18</v>
      </c>
      <c r="F6" s="243"/>
      <c r="G6" s="243"/>
      <c r="H6" s="243"/>
      <c r="I6" s="12"/>
      <c r="J6" s="244" t="s">
        <v>13</v>
      </c>
      <c r="K6" s="244"/>
    </row>
    <row r="7" spans="1:11" ht="15.75">
      <c r="A7" s="7"/>
      <c r="B7" s="35" t="s">
        <v>79</v>
      </c>
      <c r="C7" s="1"/>
    </row>
    <row r="8" spans="1:11" ht="15.75">
      <c r="A8" s="7"/>
      <c r="B8" s="35" t="s">
        <v>49</v>
      </c>
      <c r="C8" s="1"/>
    </row>
    <row r="9" spans="1:11" ht="15.75">
      <c r="A9" s="50">
        <v>1</v>
      </c>
      <c r="B9" s="35" t="s">
        <v>80</v>
      </c>
      <c r="C9" s="38"/>
      <c r="D9" s="128"/>
      <c r="E9" s="128"/>
      <c r="F9" s="128"/>
      <c r="G9" s="128"/>
      <c r="H9" s="128"/>
      <c r="I9" s="41"/>
      <c r="J9" s="129"/>
      <c r="K9" s="130"/>
    </row>
    <row r="10" spans="1:11" ht="15.75">
      <c r="A10" s="50"/>
      <c r="B10" s="35" t="s">
        <v>81</v>
      </c>
      <c r="C10" s="38"/>
      <c r="D10" s="128"/>
      <c r="E10" s="128"/>
      <c r="F10" s="128"/>
      <c r="G10" s="128"/>
      <c r="H10" s="128"/>
      <c r="I10" s="41"/>
      <c r="J10" s="129"/>
      <c r="K10" s="130"/>
    </row>
    <row r="11" spans="1:11" ht="15.75">
      <c r="A11" s="50"/>
      <c r="B11" s="35" t="s">
        <v>82</v>
      </c>
      <c r="C11" s="38"/>
      <c r="D11" s="128"/>
      <c r="E11" s="128" t="s">
        <v>84</v>
      </c>
      <c r="F11" s="128"/>
      <c r="G11" s="128"/>
      <c r="H11" s="128"/>
      <c r="I11" s="41"/>
      <c r="J11" s="129">
        <f>1*52.5*7</f>
        <v>367.5</v>
      </c>
      <c r="K11" s="130" t="s">
        <v>8</v>
      </c>
    </row>
    <row r="12" spans="1:11" ht="15.75">
      <c r="A12" s="50"/>
      <c r="B12" s="35" t="s">
        <v>82</v>
      </c>
      <c r="C12" s="38"/>
      <c r="D12" s="128"/>
      <c r="E12" s="128" t="s">
        <v>85</v>
      </c>
      <c r="F12" s="128"/>
      <c r="G12" s="128"/>
      <c r="H12" s="128"/>
      <c r="I12" s="41"/>
      <c r="J12" s="129">
        <f>1*38*7</f>
        <v>266</v>
      </c>
      <c r="K12" s="130" t="s">
        <v>8</v>
      </c>
    </row>
    <row r="13" spans="1:11" ht="15.75">
      <c r="A13" s="50"/>
      <c r="B13" s="35" t="s">
        <v>83</v>
      </c>
      <c r="C13" s="38"/>
      <c r="D13" s="128"/>
      <c r="E13" s="128" t="s">
        <v>86</v>
      </c>
      <c r="F13" s="128"/>
      <c r="G13" s="128"/>
      <c r="H13" s="128"/>
      <c r="I13" s="41"/>
      <c r="J13" s="129">
        <f>1*30*7</f>
        <v>210</v>
      </c>
      <c r="K13" s="130" t="s">
        <v>8</v>
      </c>
    </row>
    <row r="14" spans="1:11" ht="15.75">
      <c r="A14" s="50"/>
      <c r="B14" s="35" t="s">
        <v>83</v>
      </c>
      <c r="C14" s="38"/>
      <c r="D14" s="128"/>
      <c r="E14" s="128" t="s">
        <v>87</v>
      </c>
      <c r="F14" s="128"/>
      <c r="G14" s="128"/>
      <c r="H14" s="128"/>
      <c r="I14" s="41"/>
      <c r="J14" s="129">
        <f>1*24.5*6</f>
        <v>147</v>
      </c>
      <c r="K14" s="130" t="s">
        <v>8</v>
      </c>
    </row>
    <row r="15" spans="1:11" ht="15.75">
      <c r="A15" s="50"/>
      <c r="B15" s="35" t="s">
        <v>75</v>
      </c>
      <c r="C15" s="38"/>
      <c r="D15" s="128"/>
      <c r="E15" s="128" t="s">
        <v>88</v>
      </c>
      <c r="F15" s="128"/>
      <c r="G15" s="128"/>
      <c r="H15" s="128"/>
      <c r="I15" s="41"/>
      <c r="J15" s="129">
        <f>1*43*6</f>
        <v>258</v>
      </c>
      <c r="K15" s="130" t="s">
        <v>8</v>
      </c>
    </row>
    <row r="16" spans="1:11" ht="15.75">
      <c r="A16" s="50"/>
      <c r="B16" s="35" t="s">
        <v>83</v>
      </c>
      <c r="C16" s="38"/>
      <c r="D16" s="128"/>
      <c r="E16" s="128" t="s">
        <v>89</v>
      </c>
      <c r="F16" s="128"/>
      <c r="G16" s="128"/>
      <c r="H16" s="128"/>
      <c r="I16" s="41"/>
      <c r="J16" s="129">
        <f>1*11.5*6</f>
        <v>69</v>
      </c>
      <c r="K16" s="130" t="s">
        <v>8</v>
      </c>
    </row>
    <row r="17" spans="1:12" ht="15.75">
      <c r="A17" s="50"/>
      <c r="B17" s="35"/>
      <c r="C17" s="38"/>
      <c r="D17" s="128"/>
      <c r="E17" s="128" t="s">
        <v>90</v>
      </c>
      <c r="F17" s="128"/>
      <c r="G17" s="128"/>
      <c r="H17" s="128"/>
      <c r="I17" s="41"/>
      <c r="J17" s="129">
        <f>1*52.5*6</f>
        <v>315</v>
      </c>
      <c r="K17" s="130" t="s">
        <v>8</v>
      </c>
    </row>
    <row r="18" spans="1:12" ht="15.75">
      <c r="A18" s="50"/>
      <c r="B18" s="35"/>
      <c r="C18" s="38"/>
      <c r="D18" s="128"/>
      <c r="E18" s="128"/>
      <c r="F18" s="128"/>
      <c r="G18" s="128"/>
      <c r="H18" s="128"/>
      <c r="I18" s="41"/>
      <c r="J18" s="131">
        <f>SUM(J11:J17)</f>
        <v>1632.5</v>
      </c>
      <c r="K18" s="132" t="s">
        <v>8</v>
      </c>
    </row>
    <row r="19" spans="1:12" ht="15.75">
      <c r="A19" s="50"/>
      <c r="B19" s="35"/>
      <c r="C19" s="38"/>
      <c r="D19" s="128"/>
      <c r="E19" s="128"/>
      <c r="F19" s="128"/>
      <c r="G19" s="128"/>
      <c r="H19" s="128"/>
      <c r="I19" s="41"/>
      <c r="J19" s="129"/>
      <c r="K19" s="130"/>
    </row>
    <row r="20" spans="1:12" ht="15.75">
      <c r="A20" s="50"/>
      <c r="B20" s="35" t="s">
        <v>91</v>
      </c>
      <c r="C20" s="38"/>
      <c r="D20" s="128"/>
      <c r="E20" s="128" t="s">
        <v>92</v>
      </c>
      <c r="F20" s="128"/>
      <c r="G20" s="128"/>
      <c r="H20" s="128"/>
      <c r="I20" s="41"/>
      <c r="J20" s="129">
        <f>1632.5*1.5</f>
        <v>2448.75</v>
      </c>
      <c r="K20" s="130" t="s">
        <v>93</v>
      </c>
    </row>
    <row r="21" spans="1:12" ht="15" customHeight="1">
      <c r="A21" s="50"/>
      <c r="B21" s="35"/>
      <c r="C21" s="38"/>
      <c r="D21" s="128"/>
      <c r="E21" s="128"/>
      <c r="F21" s="128"/>
      <c r="G21" s="128"/>
      <c r="H21" s="128"/>
      <c r="I21" s="41"/>
      <c r="J21" s="129"/>
      <c r="K21" s="130"/>
      <c r="L21" s="13"/>
    </row>
    <row r="22" spans="1:12" ht="15" customHeight="1">
      <c r="A22" s="50"/>
      <c r="B22" s="35" t="s">
        <v>94</v>
      </c>
      <c r="C22" s="38"/>
      <c r="D22" s="128"/>
      <c r="E22" s="128"/>
      <c r="F22" s="128"/>
      <c r="G22" s="128"/>
      <c r="H22" s="128"/>
      <c r="I22" s="41"/>
      <c r="J22" s="129"/>
      <c r="K22" s="130"/>
      <c r="L22" s="13"/>
    </row>
    <row r="23" spans="1:12" ht="15" customHeight="1">
      <c r="A23" s="50"/>
      <c r="B23" s="35" t="s">
        <v>95</v>
      </c>
      <c r="C23" s="38"/>
      <c r="D23" s="128"/>
      <c r="E23" s="128" t="s">
        <v>96</v>
      </c>
      <c r="F23" s="128"/>
      <c r="G23" s="128"/>
      <c r="H23" s="128"/>
      <c r="I23" s="41"/>
      <c r="J23" s="129">
        <f>1*11*2.5</f>
        <v>27.5</v>
      </c>
      <c r="K23" s="130" t="s">
        <v>8</v>
      </c>
      <c r="L23" s="13"/>
    </row>
    <row r="24" spans="1:12" ht="15" customHeight="1">
      <c r="A24" s="50"/>
      <c r="B24" s="35" t="s">
        <v>103</v>
      </c>
      <c r="C24" s="38"/>
      <c r="D24" s="128"/>
      <c r="E24" s="128" t="s">
        <v>97</v>
      </c>
      <c r="F24" s="128"/>
      <c r="G24" s="128"/>
      <c r="H24" s="128"/>
      <c r="I24" s="41"/>
      <c r="J24" s="129">
        <f>1*12*2.5</f>
        <v>30</v>
      </c>
      <c r="K24" s="130" t="s">
        <v>8</v>
      </c>
      <c r="L24" s="13"/>
    </row>
    <row r="25" spans="1:12" ht="15" customHeight="1">
      <c r="A25" s="50"/>
      <c r="B25" s="35" t="s">
        <v>104</v>
      </c>
      <c r="C25" s="38"/>
      <c r="D25" s="128"/>
      <c r="E25" s="128" t="s">
        <v>98</v>
      </c>
      <c r="F25" s="128"/>
      <c r="G25" s="128"/>
      <c r="H25" s="128"/>
      <c r="I25" s="41"/>
      <c r="J25" s="129">
        <f>1*6*2.5</f>
        <v>15</v>
      </c>
      <c r="K25" s="130" t="s">
        <v>8</v>
      </c>
      <c r="L25" s="13"/>
    </row>
    <row r="26" spans="1:12" ht="15" customHeight="1">
      <c r="A26" s="50"/>
      <c r="B26" s="35" t="s">
        <v>105</v>
      </c>
      <c r="C26" s="38"/>
      <c r="D26" s="128"/>
      <c r="E26" s="128" t="s">
        <v>99</v>
      </c>
      <c r="F26" s="128"/>
      <c r="G26" s="128"/>
      <c r="H26" s="128"/>
      <c r="I26" s="41"/>
      <c r="J26" s="129">
        <f>1*10.5*2.5</f>
        <v>26.25</v>
      </c>
      <c r="K26" s="130" t="s">
        <v>8</v>
      </c>
      <c r="L26" s="13"/>
    </row>
    <row r="27" spans="1:12" ht="15" customHeight="1">
      <c r="A27" s="50"/>
      <c r="B27" s="35" t="s">
        <v>105</v>
      </c>
      <c r="C27" s="38"/>
      <c r="D27" s="128"/>
      <c r="E27" s="128" t="s">
        <v>100</v>
      </c>
      <c r="F27" s="128"/>
      <c r="G27" s="128"/>
      <c r="H27" s="128"/>
      <c r="I27" s="41"/>
      <c r="J27" s="129">
        <f>1*10*2.5</f>
        <v>25</v>
      </c>
      <c r="K27" s="130" t="s">
        <v>8</v>
      </c>
      <c r="L27" s="13"/>
    </row>
    <row r="28" spans="1:12" ht="15" customHeight="1">
      <c r="A28" s="50"/>
      <c r="B28" s="35" t="s">
        <v>106</v>
      </c>
      <c r="C28" s="38"/>
      <c r="D28" s="128"/>
      <c r="E28" s="128" t="s">
        <v>101</v>
      </c>
      <c r="F28" s="128"/>
      <c r="G28" s="128"/>
      <c r="H28" s="128"/>
      <c r="I28" s="41"/>
      <c r="J28" s="129">
        <f>1*6.5*2.5</f>
        <v>16.25</v>
      </c>
      <c r="K28" s="130" t="s">
        <v>8</v>
      </c>
      <c r="L28" s="13"/>
    </row>
    <row r="29" spans="1:12" ht="15" customHeight="1">
      <c r="A29" s="50"/>
      <c r="B29" s="35" t="s">
        <v>107</v>
      </c>
      <c r="C29" s="38"/>
      <c r="D29" s="128"/>
      <c r="E29" s="128" t="s">
        <v>102</v>
      </c>
      <c r="F29" s="128"/>
      <c r="G29" s="128"/>
      <c r="H29" s="128"/>
      <c r="I29" s="41"/>
      <c r="J29" s="129">
        <f>1*4*2.5</f>
        <v>10</v>
      </c>
      <c r="K29" s="130" t="s">
        <v>8</v>
      </c>
      <c r="L29" s="13"/>
    </row>
    <row r="30" spans="1:12" ht="15" customHeight="1">
      <c r="A30" s="50"/>
      <c r="B30" s="35"/>
      <c r="C30" s="38"/>
      <c r="D30" s="128"/>
      <c r="E30" s="128"/>
      <c r="F30" s="128"/>
      <c r="G30" s="128"/>
      <c r="H30" s="128"/>
      <c r="I30" s="41"/>
      <c r="J30" s="129">
        <f>SUM(J23:J29)</f>
        <v>150</v>
      </c>
      <c r="K30" s="130" t="s">
        <v>8</v>
      </c>
      <c r="L30" s="13"/>
    </row>
    <row r="31" spans="1:12" ht="15" customHeight="1">
      <c r="A31" s="50"/>
      <c r="B31" s="35"/>
      <c r="C31" s="38"/>
      <c r="D31" s="128"/>
      <c r="E31" s="128"/>
      <c r="F31" s="128"/>
      <c r="G31" s="128"/>
      <c r="H31" s="128"/>
      <c r="I31" s="41"/>
      <c r="J31" s="129"/>
      <c r="K31" s="130"/>
      <c r="L31" s="13"/>
    </row>
    <row r="32" spans="1:12" ht="15" customHeight="1">
      <c r="A32" s="50"/>
      <c r="B32" s="35" t="s">
        <v>108</v>
      </c>
      <c r="C32" s="38"/>
      <c r="D32" s="128"/>
      <c r="E32" s="128" t="s">
        <v>109</v>
      </c>
      <c r="F32" s="128"/>
      <c r="G32" s="128"/>
      <c r="H32" s="128"/>
      <c r="I32" s="41"/>
      <c r="J32" s="129">
        <f>150*1.5</f>
        <v>225</v>
      </c>
      <c r="K32" s="130" t="s">
        <v>93</v>
      </c>
      <c r="L32" s="13"/>
    </row>
    <row r="33" spans="1:12" ht="15" customHeight="1">
      <c r="A33" s="50"/>
      <c r="B33" s="35"/>
      <c r="C33" s="38"/>
      <c r="D33" s="128"/>
      <c r="E33" s="128"/>
      <c r="F33" s="128"/>
      <c r="G33" s="128"/>
      <c r="H33" s="128"/>
      <c r="I33" s="41"/>
      <c r="J33" s="129"/>
      <c r="K33" s="130"/>
      <c r="L33" s="13"/>
    </row>
    <row r="34" spans="1:12" ht="15" customHeight="1">
      <c r="A34" s="50"/>
      <c r="B34" s="35"/>
      <c r="C34" s="38"/>
      <c r="D34" s="128"/>
      <c r="E34" s="128"/>
      <c r="F34" s="128"/>
      <c r="G34" s="128" t="s">
        <v>110</v>
      </c>
      <c r="H34" s="128"/>
      <c r="I34" s="41"/>
      <c r="J34" s="131">
        <f>J20+J32</f>
        <v>2673.75</v>
      </c>
      <c r="K34" s="132" t="s">
        <v>93</v>
      </c>
      <c r="L34" s="13"/>
    </row>
    <row r="35" spans="1:12" ht="15" customHeight="1">
      <c r="A35" s="50"/>
      <c r="B35" s="35"/>
      <c r="C35" s="38"/>
      <c r="D35" s="128"/>
      <c r="E35" s="128"/>
      <c r="F35" s="128"/>
      <c r="G35" s="128"/>
      <c r="H35" s="128"/>
      <c r="I35" s="41"/>
      <c r="J35" s="129"/>
      <c r="K35" s="130"/>
      <c r="L35" s="13"/>
    </row>
    <row r="36" spans="1:12" ht="15" customHeight="1">
      <c r="A36" s="50">
        <v>2</v>
      </c>
      <c r="B36" s="35" t="s">
        <v>111</v>
      </c>
      <c r="C36" s="38"/>
      <c r="D36" s="128"/>
      <c r="E36" s="128"/>
      <c r="F36" s="128"/>
      <c r="G36" s="128"/>
      <c r="H36" s="128"/>
      <c r="I36" s="41"/>
      <c r="J36" s="129"/>
      <c r="K36" s="130"/>
      <c r="L36" s="13"/>
    </row>
    <row r="37" spans="1:12" ht="15" customHeight="1">
      <c r="A37" s="50"/>
      <c r="B37" s="128" t="s">
        <v>112</v>
      </c>
      <c r="C37" s="38"/>
      <c r="D37" s="128"/>
      <c r="E37" s="8" t="s">
        <v>114</v>
      </c>
      <c r="F37" s="128"/>
      <c r="G37" s="128"/>
      <c r="H37" s="128"/>
      <c r="I37" s="41"/>
      <c r="J37" s="129">
        <f>1632.5*3.5</f>
        <v>5713.75</v>
      </c>
      <c r="K37" s="130" t="s">
        <v>93</v>
      </c>
      <c r="L37" s="13"/>
    </row>
    <row r="38" spans="1:12" ht="15" customHeight="1">
      <c r="A38" s="50"/>
      <c r="B38" s="128" t="s">
        <v>113</v>
      </c>
      <c r="C38" s="38"/>
      <c r="D38" s="128"/>
      <c r="E38" s="8" t="s">
        <v>109</v>
      </c>
      <c r="F38" s="128"/>
      <c r="G38" s="128"/>
      <c r="H38" s="128"/>
      <c r="I38" s="41"/>
      <c r="J38" s="129">
        <f>150*1.5</f>
        <v>225</v>
      </c>
      <c r="K38" s="130" t="s">
        <v>93</v>
      </c>
      <c r="L38" s="13"/>
    </row>
    <row r="39" spans="1:12" ht="15" customHeight="1">
      <c r="A39" s="50"/>
      <c r="B39" s="35"/>
      <c r="C39" s="38"/>
      <c r="D39" s="128"/>
      <c r="E39" s="128"/>
      <c r="F39" s="128"/>
      <c r="G39" s="128"/>
      <c r="H39" s="128"/>
      <c r="I39" s="41"/>
      <c r="J39" s="131">
        <f>SUM(J37:J38)</f>
        <v>5938.75</v>
      </c>
      <c r="K39" s="132" t="s">
        <v>93</v>
      </c>
      <c r="L39" s="13"/>
    </row>
    <row r="40" spans="1:12" ht="15" customHeight="1">
      <c r="A40" s="50"/>
      <c r="B40" s="35"/>
      <c r="C40" s="38"/>
      <c r="D40" s="128"/>
      <c r="E40" s="128"/>
      <c r="F40" s="128"/>
      <c r="G40" s="128"/>
      <c r="H40" s="128"/>
      <c r="I40" s="41"/>
      <c r="J40" s="129"/>
      <c r="K40" s="130"/>
      <c r="L40" s="13"/>
    </row>
    <row r="41" spans="1:12" ht="15" customHeight="1">
      <c r="A41" s="50">
        <v>3</v>
      </c>
      <c r="B41" s="35" t="s">
        <v>115</v>
      </c>
      <c r="C41" s="38"/>
      <c r="D41" s="128"/>
      <c r="E41" s="128"/>
      <c r="F41" s="128"/>
      <c r="G41" s="128"/>
      <c r="H41" s="128"/>
      <c r="I41" s="41"/>
      <c r="J41" s="129"/>
      <c r="K41" s="130"/>
      <c r="L41" s="13"/>
    </row>
    <row r="42" spans="1:12" ht="15" customHeight="1">
      <c r="A42" s="50"/>
      <c r="B42" s="128" t="s">
        <v>112</v>
      </c>
      <c r="C42" s="38"/>
      <c r="D42" s="128"/>
      <c r="E42" s="8" t="s">
        <v>116</v>
      </c>
      <c r="F42" s="128"/>
      <c r="G42" s="128"/>
      <c r="H42" s="128"/>
      <c r="I42" s="41"/>
      <c r="J42" s="129">
        <f>1632.5*0.5</f>
        <v>816.25</v>
      </c>
      <c r="K42" s="130" t="s">
        <v>93</v>
      </c>
      <c r="L42" s="13"/>
    </row>
    <row r="43" spans="1:12" ht="15" customHeight="1">
      <c r="A43" s="50"/>
      <c r="B43" s="128" t="s">
        <v>113</v>
      </c>
      <c r="C43" s="38"/>
      <c r="D43" s="128"/>
      <c r="E43" s="8" t="s">
        <v>117</v>
      </c>
      <c r="F43" s="128"/>
      <c r="G43" s="128"/>
      <c r="H43" s="128"/>
      <c r="I43" s="41"/>
      <c r="J43" s="129">
        <f>150*0.5</f>
        <v>75</v>
      </c>
      <c r="K43" s="130" t="s">
        <v>93</v>
      </c>
      <c r="L43" s="13"/>
    </row>
    <row r="44" spans="1:12" ht="15" customHeight="1">
      <c r="A44" s="50"/>
      <c r="B44" s="35"/>
      <c r="C44" s="38"/>
      <c r="D44" s="128"/>
      <c r="E44" s="128"/>
      <c r="F44" s="128"/>
      <c r="G44" s="128"/>
      <c r="H44" s="128"/>
      <c r="I44" s="41"/>
      <c r="J44" s="131">
        <f>SUM(J42:J43)</f>
        <v>891.25</v>
      </c>
      <c r="K44" s="132" t="s">
        <v>93</v>
      </c>
      <c r="L44" s="13"/>
    </row>
    <row r="45" spans="1:12" ht="15" customHeight="1">
      <c r="A45" s="50"/>
      <c r="B45" s="35"/>
      <c r="C45" s="38"/>
      <c r="D45" s="128"/>
      <c r="E45" s="128"/>
      <c r="F45" s="128"/>
      <c r="G45" s="128"/>
      <c r="H45" s="128"/>
      <c r="I45" s="41"/>
      <c r="J45" s="129"/>
      <c r="K45" s="130"/>
      <c r="L45" s="13"/>
    </row>
    <row r="46" spans="1:12" ht="15" customHeight="1">
      <c r="A46" s="50">
        <v>4</v>
      </c>
      <c r="B46" s="35" t="s">
        <v>118</v>
      </c>
      <c r="C46" s="38"/>
      <c r="D46" s="128"/>
      <c r="E46" s="128"/>
      <c r="F46" s="128"/>
      <c r="G46" s="128"/>
      <c r="H46" s="128"/>
      <c r="I46" s="41"/>
      <c r="J46" s="129"/>
      <c r="K46" s="130"/>
      <c r="L46" s="13"/>
    </row>
    <row r="47" spans="1:12" ht="15" customHeight="1">
      <c r="A47" s="50"/>
      <c r="B47" s="35" t="s">
        <v>119</v>
      </c>
      <c r="C47" s="38"/>
      <c r="D47" s="128"/>
      <c r="E47" s="128" t="s">
        <v>120</v>
      </c>
      <c r="F47" s="128"/>
      <c r="G47" s="128"/>
      <c r="H47" s="128"/>
      <c r="I47" s="41"/>
      <c r="J47" s="135">
        <f>1*5.83*0.67*3.5</f>
        <v>13.67135</v>
      </c>
      <c r="K47" s="130" t="s">
        <v>93</v>
      </c>
      <c r="L47" s="13"/>
    </row>
    <row r="48" spans="1:12" ht="15" customHeight="1">
      <c r="A48" s="50"/>
      <c r="B48" s="35" t="s">
        <v>133</v>
      </c>
      <c r="C48" s="38"/>
      <c r="D48" s="128"/>
      <c r="E48" s="128" t="s">
        <v>121</v>
      </c>
      <c r="F48" s="128"/>
      <c r="G48" s="128"/>
      <c r="H48" s="128"/>
      <c r="I48" s="41"/>
      <c r="J48" s="135">
        <f>1*11.83*0.67*3.5</f>
        <v>27.741350000000004</v>
      </c>
      <c r="K48" s="130" t="s">
        <v>93</v>
      </c>
      <c r="L48" s="13"/>
    </row>
    <row r="49" spans="1:12" ht="15" customHeight="1">
      <c r="A49" s="50"/>
      <c r="B49" s="35" t="s">
        <v>134</v>
      </c>
      <c r="C49" s="38"/>
      <c r="D49" s="128"/>
      <c r="E49" s="128" t="s">
        <v>121</v>
      </c>
      <c r="F49" s="128"/>
      <c r="G49" s="128"/>
      <c r="H49" s="128"/>
      <c r="I49" s="41"/>
      <c r="J49" s="135">
        <f>1*11.83*0.67*3.5</f>
        <v>27.741350000000004</v>
      </c>
      <c r="K49" s="130" t="s">
        <v>93</v>
      </c>
      <c r="L49" s="13"/>
    </row>
    <row r="50" spans="1:12" ht="15" customHeight="1">
      <c r="A50" s="50"/>
      <c r="B50" s="35" t="s">
        <v>135</v>
      </c>
      <c r="C50" s="38"/>
      <c r="D50" s="128"/>
      <c r="E50" s="128" t="s">
        <v>120</v>
      </c>
      <c r="F50" s="128"/>
      <c r="G50" s="128"/>
      <c r="H50" s="128"/>
      <c r="I50" s="41"/>
      <c r="J50" s="135">
        <f>1*5.83*0.67*3.5</f>
        <v>13.67135</v>
      </c>
      <c r="K50" s="130" t="s">
        <v>93</v>
      </c>
      <c r="L50" s="13"/>
    </row>
    <row r="51" spans="1:12" ht="15" customHeight="1">
      <c r="A51" s="50"/>
      <c r="B51" s="35" t="s">
        <v>136</v>
      </c>
      <c r="C51" s="38"/>
      <c r="D51" s="128"/>
      <c r="E51" s="128" t="s">
        <v>121</v>
      </c>
      <c r="F51" s="128"/>
      <c r="G51" s="128"/>
      <c r="H51" s="128"/>
      <c r="I51" s="41"/>
      <c r="J51" s="135">
        <f>1*11.83*0.67*3.5</f>
        <v>27.741350000000004</v>
      </c>
      <c r="K51" s="130" t="s">
        <v>93</v>
      </c>
      <c r="L51" s="13"/>
    </row>
    <row r="52" spans="1:12" ht="15" customHeight="1">
      <c r="A52" s="50"/>
      <c r="B52" s="35" t="s">
        <v>137</v>
      </c>
      <c r="C52" s="38"/>
      <c r="D52" s="128"/>
      <c r="E52" s="128" t="s">
        <v>122</v>
      </c>
      <c r="F52" s="128"/>
      <c r="G52" s="128"/>
      <c r="H52" s="128"/>
      <c r="I52" s="41"/>
      <c r="J52" s="135">
        <f>1*16.83*0.67*3.5</f>
        <v>39.466349999999998</v>
      </c>
      <c r="K52" s="130" t="s">
        <v>93</v>
      </c>
      <c r="L52" s="13"/>
    </row>
    <row r="53" spans="1:12" ht="15" customHeight="1">
      <c r="A53" s="50"/>
      <c r="B53" s="33" t="s">
        <v>138</v>
      </c>
      <c r="C53" s="38"/>
      <c r="D53" s="128"/>
      <c r="E53" s="128" t="s">
        <v>123</v>
      </c>
      <c r="F53" s="128"/>
      <c r="G53" s="128"/>
      <c r="H53" s="128"/>
      <c r="I53" s="41"/>
      <c r="J53" s="135">
        <f>1*15.83*0.67*3.5</f>
        <v>37.121350000000007</v>
      </c>
      <c r="K53" s="130" t="s">
        <v>93</v>
      </c>
      <c r="L53" s="13"/>
    </row>
    <row r="54" spans="1:12" ht="15" customHeight="1">
      <c r="A54" s="50"/>
      <c r="B54" s="33" t="s">
        <v>139</v>
      </c>
      <c r="C54" s="38"/>
      <c r="D54" s="128"/>
      <c r="E54" s="128" t="s">
        <v>124</v>
      </c>
      <c r="F54" s="128"/>
      <c r="G54" s="128"/>
      <c r="H54" s="128"/>
      <c r="I54" s="41"/>
      <c r="J54" s="135">
        <f>1*14.5*0.67*3.5</f>
        <v>34.002499999999998</v>
      </c>
      <c r="K54" s="130" t="s">
        <v>93</v>
      </c>
      <c r="L54" s="13"/>
    </row>
    <row r="55" spans="1:12" ht="15" customHeight="1">
      <c r="A55" s="50"/>
      <c r="B55" s="33" t="s">
        <v>140</v>
      </c>
      <c r="C55" s="38"/>
      <c r="D55" s="128"/>
      <c r="E55" s="128" t="s">
        <v>125</v>
      </c>
      <c r="F55" s="128"/>
      <c r="G55" s="128"/>
      <c r="H55" s="128"/>
      <c r="I55" s="41"/>
      <c r="J55" s="135">
        <f>1*18.83*0.67*3.5</f>
        <v>44.156349999999996</v>
      </c>
      <c r="K55" s="130" t="s">
        <v>93</v>
      </c>
      <c r="L55" s="13"/>
    </row>
    <row r="56" spans="1:12" ht="15" customHeight="1">
      <c r="A56" s="50"/>
      <c r="B56" s="33" t="s">
        <v>141</v>
      </c>
      <c r="C56" s="38"/>
      <c r="D56" s="128"/>
      <c r="E56" s="128" t="s">
        <v>126</v>
      </c>
      <c r="F56" s="128"/>
      <c r="G56" s="128"/>
      <c r="H56" s="128"/>
      <c r="I56" s="41"/>
      <c r="J56" s="135">
        <f>1*15.5*0.67*3.5</f>
        <v>36.347499999999997</v>
      </c>
      <c r="K56" s="130" t="s">
        <v>93</v>
      </c>
      <c r="L56" s="13"/>
    </row>
    <row r="57" spans="1:12" ht="15" customHeight="1">
      <c r="A57" s="50"/>
      <c r="B57" s="33" t="s">
        <v>142</v>
      </c>
      <c r="C57" s="38"/>
      <c r="D57" s="128"/>
      <c r="E57" s="128" t="s">
        <v>123</v>
      </c>
      <c r="F57" s="128"/>
      <c r="G57" s="128"/>
      <c r="H57" s="128"/>
      <c r="I57" s="41"/>
      <c r="J57" s="135">
        <f>1*15.83*0.67*3.5</f>
        <v>37.121350000000007</v>
      </c>
      <c r="K57" s="130" t="s">
        <v>93</v>
      </c>
      <c r="L57" s="13"/>
    </row>
    <row r="58" spans="1:12" ht="15" customHeight="1">
      <c r="A58" s="50"/>
      <c r="B58" s="33" t="s">
        <v>143</v>
      </c>
      <c r="C58" s="38"/>
      <c r="D58" s="128"/>
      <c r="E58" s="128" t="s">
        <v>127</v>
      </c>
      <c r="F58" s="128"/>
      <c r="G58" s="128"/>
      <c r="H58" s="128"/>
      <c r="I58" s="41"/>
      <c r="J58" s="135">
        <f>1*9.83*0.67*3.5</f>
        <v>23.051349999999999</v>
      </c>
      <c r="K58" s="130" t="s">
        <v>93</v>
      </c>
      <c r="L58" s="13"/>
    </row>
    <row r="59" spans="1:12" ht="15" customHeight="1">
      <c r="A59" s="50"/>
      <c r="B59" s="33" t="s">
        <v>144</v>
      </c>
      <c r="C59" s="38"/>
      <c r="D59" s="128"/>
      <c r="E59" s="128" t="s">
        <v>121</v>
      </c>
      <c r="F59" s="128"/>
      <c r="G59" s="128"/>
      <c r="H59" s="128"/>
      <c r="I59" s="41"/>
      <c r="J59" s="135">
        <f>1*11.83*0.67*3.5</f>
        <v>27.741350000000004</v>
      </c>
      <c r="K59" s="130" t="s">
        <v>93</v>
      </c>
      <c r="L59" s="13"/>
    </row>
    <row r="60" spans="1:12" ht="15" customHeight="1">
      <c r="A60" s="50"/>
      <c r="B60" s="33" t="s">
        <v>145</v>
      </c>
      <c r="C60" s="38"/>
      <c r="D60" s="128"/>
      <c r="E60" s="128" t="s">
        <v>128</v>
      </c>
      <c r="F60" s="128"/>
      <c r="G60" s="128"/>
      <c r="H60" s="128"/>
      <c r="I60" s="41"/>
      <c r="J60" s="135">
        <f>1*16.5*0.67*3.5</f>
        <v>38.692500000000003</v>
      </c>
      <c r="K60" s="130" t="s">
        <v>93</v>
      </c>
      <c r="L60" s="13"/>
    </row>
    <row r="61" spans="1:12" ht="15" customHeight="1">
      <c r="A61" s="50"/>
      <c r="B61" s="33" t="s">
        <v>146</v>
      </c>
      <c r="C61" s="38"/>
      <c r="D61" s="128"/>
      <c r="E61" s="128" t="s">
        <v>129</v>
      </c>
      <c r="F61" s="128"/>
      <c r="G61" s="128"/>
      <c r="H61" s="128"/>
      <c r="I61" s="41"/>
      <c r="J61" s="135">
        <f>1*17*4*0.67</f>
        <v>45.56</v>
      </c>
      <c r="K61" s="130" t="s">
        <v>93</v>
      </c>
      <c r="L61" s="13"/>
    </row>
    <row r="62" spans="1:12" ht="15" customHeight="1">
      <c r="A62" s="50"/>
      <c r="B62" s="33" t="s">
        <v>147</v>
      </c>
      <c r="C62" s="38"/>
      <c r="D62" s="128"/>
      <c r="E62" s="128" t="s">
        <v>130</v>
      </c>
      <c r="F62" s="128"/>
      <c r="G62" s="128"/>
      <c r="H62" s="128"/>
      <c r="I62" s="41"/>
      <c r="J62" s="135">
        <f>1*17*3*0.5</f>
        <v>25.5</v>
      </c>
      <c r="K62" s="130" t="s">
        <v>93</v>
      </c>
      <c r="L62" s="13"/>
    </row>
    <row r="63" spans="1:12" ht="15" customHeight="1">
      <c r="A63" s="50"/>
      <c r="B63" s="33" t="s">
        <v>148</v>
      </c>
      <c r="C63" s="38"/>
      <c r="D63" s="128"/>
      <c r="E63" s="128" t="s">
        <v>131</v>
      </c>
      <c r="F63" s="128"/>
      <c r="G63" s="128"/>
      <c r="H63" s="128"/>
      <c r="I63" s="41"/>
      <c r="J63" s="135">
        <f>1*17*2*0.5</f>
        <v>17</v>
      </c>
      <c r="K63" s="130" t="s">
        <v>93</v>
      </c>
      <c r="L63" s="13"/>
    </row>
    <row r="64" spans="1:12" ht="15" customHeight="1">
      <c r="A64" s="50"/>
      <c r="B64" s="33" t="s">
        <v>148</v>
      </c>
      <c r="C64" s="38"/>
      <c r="D64" s="128"/>
      <c r="E64" s="128" t="s">
        <v>132</v>
      </c>
      <c r="F64" s="128"/>
      <c r="G64" s="128"/>
      <c r="H64" s="128"/>
      <c r="I64" s="41"/>
      <c r="J64" s="135">
        <f>1*17*1*0.5</f>
        <v>8.5</v>
      </c>
      <c r="K64" s="130" t="s">
        <v>93</v>
      </c>
      <c r="L64" s="13"/>
    </row>
    <row r="65" spans="1:12" ht="15" customHeight="1">
      <c r="A65" s="50"/>
      <c r="B65" s="33"/>
      <c r="C65" s="38"/>
      <c r="D65" s="128"/>
      <c r="E65" s="128"/>
      <c r="F65" s="128"/>
      <c r="G65" s="128"/>
      <c r="H65" s="128"/>
      <c r="I65" s="41"/>
      <c r="J65" s="131">
        <f>SUM(J47:J64)</f>
        <v>524.82735000000002</v>
      </c>
      <c r="K65" s="132" t="s">
        <v>93</v>
      </c>
      <c r="L65" s="13"/>
    </row>
    <row r="66" spans="1:12" ht="15" customHeight="1">
      <c r="A66" s="50"/>
      <c r="B66" s="33"/>
      <c r="C66" s="38"/>
      <c r="D66" s="128"/>
      <c r="E66" s="128"/>
      <c r="F66" s="128"/>
      <c r="G66" s="128"/>
      <c r="H66" s="128"/>
      <c r="I66" s="41"/>
      <c r="J66" s="129"/>
      <c r="K66" s="130"/>
      <c r="L66" s="13"/>
    </row>
    <row r="67" spans="1:12" ht="15" customHeight="1">
      <c r="A67" s="50">
        <v>5</v>
      </c>
      <c r="B67" s="33" t="s">
        <v>149</v>
      </c>
      <c r="C67" s="38"/>
      <c r="D67" s="128"/>
      <c r="E67" s="128"/>
      <c r="F67" s="128"/>
      <c r="G67" s="128"/>
      <c r="H67" s="128"/>
      <c r="I67" s="41"/>
      <c r="J67" s="129"/>
      <c r="K67" s="130"/>
      <c r="L67" s="13"/>
    </row>
    <row r="68" spans="1:12" ht="15" customHeight="1">
      <c r="A68" s="50"/>
      <c r="B68" s="33" t="s">
        <v>150</v>
      </c>
      <c r="C68" s="38"/>
      <c r="D68" s="128"/>
      <c r="E68" s="128" t="s">
        <v>151</v>
      </c>
      <c r="F68" s="128"/>
      <c r="G68" s="128"/>
      <c r="H68" s="128"/>
      <c r="I68" s="41"/>
      <c r="J68" s="129">
        <f>1*51.5*6*1.75</f>
        <v>540.75</v>
      </c>
      <c r="K68" s="130" t="s">
        <v>93</v>
      </c>
      <c r="L68" s="13"/>
    </row>
    <row r="69" spans="1:12" ht="15" customHeight="1">
      <c r="A69" s="50"/>
      <c r="B69" s="33" t="s">
        <v>82</v>
      </c>
      <c r="C69" s="38"/>
      <c r="D69" s="128"/>
      <c r="E69" s="128" t="s">
        <v>152</v>
      </c>
      <c r="F69" s="128"/>
      <c r="G69" s="128"/>
      <c r="H69" s="128"/>
      <c r="I69" s="41"/>
      <c r="J69" s="129">
        <v>388</v>
      </c>
      <c r="K69" s="130" t="s">
        <v>93</v>
      </c>
      <c r="L69" s="13"/>
    </row>
    <row r="70" spans="1:12" ht="15" customHeight="1">
      <c r="A70" s="50"/>
      <c r="B70" s="33" t="s">
        <v>82</v>
      </c>
      <c r="C70" s="38"/>
      <c r="D70" s="128"/>
      <c r="E70" s="128" t="s">
        <v>153</v>
      </c>
      <c r="F70" s="128"/>
      <c r="G70" s="128"/>
      <c r="H70" s="128"/>
      <c r="I70" s="41"/>
      <c r="J70" s="129">
        <v>305</v>
      </c>
      <c r="K70" s="130" t="s">
        <v>93</v>
      </c>
      <c r="L70" s="13"/>
    </row>
    <row r="71" spans="1:12" ht="15" customHeight="1">
      <c r="A71" s="50"/>
      <c r="B71" s="33" t="s">
        <v>83</v>
      </c>
      <c r="C71" s="38"/>
      <c r="D71" s="128"/>
      <c r="E71" s="128" t="s">
        <v>154</v>
      </c>
      <c r="F71" s="128"/>
      <c r="G71" s="128"/>
      <c r="H71" s="128"/>
      <c r="I71" s="41"/>
      <c r="J71" s="129">
        <v>176</v>
      </c>
      <c r="K71" s="130" t="s">
        <v>93</v>
      </c>
      <c r="L71" s="13"/>
    </row>
    <row r="72" spans="1:12" ht="15" customHeight="1">
      <c r="A72" s="50"/>
      <c r="B72" s="33" t="s">
        <v>83</v>
      </c>
      <c r="C72" s="38"/>
      <c r="D72" s="128"/>
      <c r="E72" s="128" t="s">
        <v>155</v>
      </c>
      <c r="F72" s="128"/>
      <c r="G72" s="128"/>
      <c r="H72" s="128"/>
      <c r="I72" s="41"/>
      <c r="J72" s="129">
        <v>323</v>
      </c>
      <c r="K72" s="130" t="s">
        <v>93</v>
      </c>
      <c r="L72" s="13"/>
    </row>
    <row r="73" spans="1:12" ht="15" customHeight="1">
      <c r="A73" s="50"/>
      <c r="B73" s="33" t="s">
        <v>75</v>
      </c>
      <c r="C73" s="38"/>
      <c r="D73" s="128"/>
      <c r="E73" s="128" t="s">
        <v>156</v>
      </c>
      <c r="F73" s="128"/>
      <c r="G73" s="128"/>
      <c r="H73" s="128"/>
      <c r="I73" s="41"/>
      <c r="J73" s="129">
        <v>86</v>
      </c>
      <c r="K73" s="130" t="s">
        <v>93</v>
      </c>
      <c r="L73" s="13"/>
    </row>
    <row r="74" spans="1:12" ht="15" customHeight="1">
      <c r="A74" s="50"/>
      <c r="B74" s="33" t="s">
        <v>83</v>
      </c>
      <c r="C74" s="38"/>
      <c r="D74" s="128"/>
      <c r="E74" s="128" t="s">
        <v>157</v>
      </c>
      <c r="F74" s="128"/>
      <c r="G74" s="128"/>
      <c r="H74" s="128"/>
      <c r="I74" s="41"/>
      <c r="J74" s="129">
        <v>386</v>
      </c>
      <c r="K74" s="130" t="s">
        <v>93</v>
      </c>
    </row>
    <row r="75" spans="1:12" ht="15" customHeight="1">
      <c r="A75" s="50"/>
      <c r="B75" s="33" t="s">
        <v>160</v>
      </c>
      <c r="C75" s="38"/>
      <c r="D75" s="128"/>
      <c r="E75" s="128" t="s">
        <v>158</v>
      </c>
      <c r="F75" s="128"/>
      <c r="G75" s="128"/>
      <c r="H75" s="128"/>
      <c r="I75" s="41"/>
      <c r="J75" s="129">
        <v>52</v>
      </c>
      <c r="K75" s="130" t="s">
        <v>93</v>
      </c>
    </row>
    <row r="76" spans="1:12" ht="15" customHeight="1">
      <c r="A76" s="50"/>
      <c r="B76" s="33" t="s">
        <v>161</v>
      </c>
      <c r="C76" s="38"/>
      <c r="D76" s="128"/>
      <c r="E76" s="128" t="s">
        <v>159</v>
      </c>
      <c r="F76" s="128"/>
      <c r="G76" s="128"/>
      <c r="H76" s="128"/>
      <c r="I76" s="41"/>
      <c r="J76" s="129">
        <v>48</v>
      </c>
      <c r="K76" s="130" t="s">
        <v>93</v>
      </c>
    </row>
    <row r="77" spans="1:12" ht="15" customHeight="1">
      <c r="A77" s="50"/>
      <c r="B77" s="33"/>
      <c r="C77" s="38"/>
      <c r="D77" s="128"/>
      <c r="E77" s="128"/>
      <c r="F77" s="128"/>
      <c r="G77" s="128"/>
      <c r="H77" s="128"/>
      <c r="I77" s="41"/>
      <c r="J77" s="131">
        <f>SUM(J68:J76)</f>
        <v>2304.75</v>
      </c>
      <c r="K77" s="132" t="s">
        <v>93</v>
      </c>
    </row>
    <row r="78" spans="1:12" ht="15" customHeight="1">
      <c r="A78" s="50"/>
      <c r="B78" s="33"/>
      <c r="C78" s="38"/>
      <c r="D78" s="128"/>
      <c r="E78" s="128"/>
      <c r="F78" s="128"/>
      <c r="G78" s="128"/>
      <c r="H78" s="128"/>
      <c r="I78" s="41"/>
      <c r="J78" s="129"/>
      <c r="K78" s="130"/>
    </row>
    <row r="79" spans="1:12" ht="15" customHeight="1">
      <c r="A79" s="50"/>
      <c r="B79" s="33" t="s">
        <v>164</v>
      </c>
      <c r="C79" s="38"/>
      <c r="D79" s="128"/>
      <c r="E79" s="128" t="s">
        <v>162</v>
      </c>
      <c r="F79" s="128"/>
      <c r="G79" s="128"/>
      <c r="H79" s="128"/>
      <c r="I79" s="41"/>
      <c r="J79" s="129">
        <f>1*38.5*0.67*2</f>
        <v>51.59</v>
      </c>
      <c r="K79" s="130" t="s">
        <v>93</v>
      </c>
    </row>
    <row r="80" spans="1:12" ht="15" customHeight="1">
      <c r="A80" s="50"/>
      <c r="B80" s="33" t="s">
        <v>165</v>
      </c>
      <c r="C80" s="38"/>
      <c r="D80" s="128"/>
      <c r="E80" s="128" t="s">
        <v>163</v>
      </c>
      <c r="F80" s="128"/>
      <c r="G80" s="128"/>
      <c r="H80" s="128"/>
      <c r="I80" s="41"/>
      <c r="J80" s="129">
        <f>1*47*0.67*2</f>
        <v>62.980000000000004</v>
      </c>
      <c r="K80" s="130" t="s">
        <v>93</v>
      </c>
    </row>
    <row r="81" spans="1:11" ht="15" customHeight="1">
      <c r="A81" s="50"/>
      <c r="B81" s="33" t="s">
        <v>166</v>
      </c>
      <c r="C81" s="38"/>
      <c r="D81" s="128"/>
      <c r="E81" s="128" t="s">
        <v>168</v>
      </c>
      <c r="F81" s="128"/>
      <c r="G81" s="128"/>
      <c r="H81" s="128"/>
      <c r="I81" s="41"/>
      <c r="J81" s="129">
        <f>6*15.83*0.67*2</f>
        <v>127.27320000000002</v>
      </c>
      <c r="K81" s="130" t="s">
        <v>93</v>
      </c>
    </row>
    <row r="82" spans="1:11" ht="15" customHeight="1">
      <c r="A82" s="50"/>
      <c r="B82" s="33" t="s">
        <v>167</v>
      </c>
      <c r="C82" s="38"/>
      <c r="D82" s="128"/>
      <c r="E82" s="128" t="s">
        <v>169</v>
      </c>
      <c r="F82" s="128"/>
      <c r="G82" s="128"/>
      <c r="H82" s="128"/>
      <c r="I82" s="41"/>
      <c r="J82" s="129">
        <f>1*17*0.67*2</f>
        <v>22.78</v>
      </c>
      <c r="K82" s="130" t="s">
        <v>93</v>
      </c>
    </row>
    <row r="83" spans="1:11" ht="15" customHeight="1">
      <c r="A83" s="50"/>
      <c r="B83" s="33" t="s">
        <v>180</v>
      </c>
      <c r="C83" s="38"/>
      <c r="D83" s="128"/>
      <c r="E83" s="128" t="s">
        <v>170</v>
      </c>
      <c r="F83" s="128"/>
      <c r="G83" s="128"/>
      <c r="H83" s="128"/>
      <c r="I83" s="41"/>
      <c r="J83" s="129">
        <f>1*16*0.67*2</f>
        <v>21.44</v>
      </c>
      <c r="K83" s="130" t="s">
        <v>93</v>
      </c>
    </row>
    <row r="84" spans="1:11" ht="15" customHeight="1">
      <c r="A84" s="50"/>
      <c r="B84" s="33" t="s">
        <v>181</v>
      </c>
      <c r="C84" s="38"/>
      <c r="D84" s="128"/>
      <c r="E84" s="128" t="s">
        <v>171</v>
      </c>
      <c r="F84" s="128"/>
      <c r="G84" s="128"/>
      <c r="H84" s="128"/>
      <c r="I84" s="41"/>
      <c r="J84" s="129">
        <f>2*11.83*0.67*2</f>
        <v>31.704400000000003</v>
      </c>
      <c r="K84" s="130" t="s">
        <v>93</v>
      </c>
    </row>
    <row r="85" spans="1:11" ht="15" customHeight="1">
      <c r="A85" s="50"/>
      <c r="B85" s="33" t="s">
        <v>182</v>
      </c>
      <c r="C85" s="38"/>
      <c r="D85" s="128"/>
      <c r="E85" s="128" t="s">
        <v>170</v>
      </c>
      <c r="F85" s="128"/>
      <c r="G85" s="128"/>
      <c r="H85" s="128"/>
      <c r="I85" s="41"/>
      <c r="J85" s="129">
        <f>1*16*0.67*2</f>
        <v>21.44</v>
      </c>
      <c r="K85" s="130" t="s">
        <v>93</v>
      </c>
    </row>
    <row r="86" spans="1:11" ht="15" customHeight="1">
      <c r="A86" s="50"/>
      <c r="B86" s="33" t="s">
        <v>183</v>
      </c>
      <c r="C86" s="38"/>
      <c r="D86" s="128"/>
      <c r="E86" s="128" t="s">
        <v>172</v>
      </c>
      <c r="F86" s="128"/>
      <c r="G86" s="128"/>
      <c r="H86" s="128"/>
      <c r="I86" s="41"/>
      <c r="J86" s="129">
        <f>1*24.5*0.67*2</f>
        <v>32.830000000000005</v>
      </c>
      <c r="K86" s="130" t="s">
        <v>93</v>
      </c>
    </row>
    <row r="87" spans="1:11" ht="15" customHeight="1">
      <c r="A87" s="50"/>
      <c r="B87" s="33" t="s">
        <v>184</v>
      </c>
      <c r="C87" s="38"/>
      <c r="D87" s="128"/>
      <c r="E87" s="128" t="s">
        <v>173</v>
      </c>
      <c r="F87" s="128"/>
      <c r="G87" s="128"/>
      <c r="H87" s="128"/>
      <c r="I87" s="41"/>
      <c r="J87" s="129">
        <f>1*18*0.67*2</f>
        <v>24.12</v>
      </c>
      <c r="K87" s="130" t="s">
        <v>93</v>
      </c>
    </row>
    <row r="88" spans="1:11" ht="15" customHeight="1">
      <c r="A88" s="50"/>
      <c r="B88" s="33" t="s">
        <v>185</v>
      </c>
      <c r="C88" s="38"/>
      <c r="D88" s="128"/>
      <c r="E88" s="128" t="s">
        <v>174</v>
      </c>
      <c r="F88" s="128"/>
      <c r="G88" s="128"/>
      <c r="H88" s="128"/>
      <c r="I88" s="41"/>
      <c r="J88" s="129">
        <f>1*23.5*0.67*2</f>
        <v>31.490000000000002</v>
      </c>
      <c r="K88" s="130" t="s">
        <v>93</v>
      </c>
    </row>
    <row r="89" spans="1:11" ht="15" customHeight="1">
      <c r="A89" s="50"/>
      <c r="B89" s="33" t="s">
        <v>186</v>
      </c>
      <c r="C89" s="38"/>
      <c r="D89" s="128"/>
      <c r="E89" s="128" t="s">
        <v>175</v>
      </c>
      <c r="F89" s="128"/>
      <c r="G89" s="128"/>
      <c r="H89" s="128"/>
      <c r="I89" s="41"/>
      <c r="J89" s="129">
        <f>1*41.5*0.67*2</f>
        <v>55.610000000000007</v>
      </c>
      <c r="K89" s="130" t="s">
        <v>93</v>
      </c>
    </row>
    <row r="90" spans="1:11" ht="15" customHeight="1">
      <c r="A90" s="50"/>
      <c r="B90" s="33" t="s">
        <v>187</v>
      </c>
      <c r="C90" s="38"/>
      <c r="D90" s="128"/>
      <c r="E90" s="128" t="s">
        <v>176</v>
      </c>
      <c r="F90" s="128"/>
      <c r="G90" s="128"/>
      <c r="H90" s="128"/>
      <c r="I90" s="41"/>
      <c r="J90" s="129">
        <f>1*55*0.67*2</f>
        <v>73.7</v>
      </c>
      <c r="K90" s="130" t="s">
        <v>93</v>
      </c>
    </row>
    <row r="91" spans="1:11" ht="15" customHeight="1">
      <c r="A91" s="50"/>
      <c r="B91" s="33"/>
      <c r="C91" s="38"/>
      <c r="D91" s="128"/>
      <c r="E91" s="128" t="s">
        <v>177</v>
      </c>
      <c r="F91" s="128"/>
      <c r="G91" s="128"/>
      <c r="H91" s="128"/>
      <c r="I91" s="41"/>
      <c r="J91" s="129">
        <f>2*7.83*0.67*2</f>
        <v>20.984400000000001</v>
      </c>
      <c r="K91" s="130" t="s">
        <v>93</v>
      </c>
    </row>
    <row r="92" spans="1:11" ht="15" customHeight="1">
      <c r="A92" s="50"/>
      <c r="B92" s="33" t="s">
        <v>188</v>
      </c>
      <c r="C92" s="38"/>
      <c r="D92" s="128"/>
      <c r="E92" s="128" t="s">
        <v>178</v>
      </c>
      <c r="F92" s="128"/>
      <c r="G92" s="128"/>
      <c r="H92" s="128"/>
      <c r="I92" s="41"/>
      <c r="J92" s="129">
        <f>2*7.5*1.5*0.5</f>
        <v>11.25</v>
      </c>
      <c r="K92" s="130" t="s">
        <v>93</v>
      </c>
    </row>
    <row r="93" spans="1:11" ht="15" customHeight="1">
      <c r="A93" s="50"/>
      <c r="B93" s="33" t="s">
        <v>189</v>
      </c>
      <c r="C93" s="38"/>
      <c r="D93" s="128"/>
      <c r="E93" s="128" t="s">
        <v>179</v>
      </c>
      <c r="F93" s="128"/>
      <c r="G93" s="128"/>
      <c r="H93" s="128"/>
      <c r="I93" s="41"/>
      <c r="J93" s="129">
        <f>18*1*0.67*1</f>
        <v>12.06</v>
      </c>
      <c r="K93" s="130" t="s">
        <v>93</v>
      </c>
    </row>
    <row r="94" spans="1:11" ht="15" customHeight="1">
      <c r="A94" s="50"/>
      <c r="B94" s="33"/>
      <c r="C94" s="38"/>
      <c r="D94" s="128"/>
      <c r="E94" s="128"/>
      <c r="F94" s="128"/>
      <c r="G94" s="128"/>
      <c r="H94" s="128"/>
      <c r="I94" s="41"/>
      <c r="J94" s="129">
        <f>SUM(J79:J93)</f>
        <v>601.25200000000007</v>
      </c>
      <c r="K94" s="130" t="s">
        <v>93</v>
      </c>
    </row>
    <row r="95" spans="1:11" ht="15" customHeight="1">
      <c r="A95" s="50"/>
      <c r="B95" s="33"/>
      <c r="C95" s="38"/>
      <c r="D95" s="128"/>
      <c r="E95" s="128"/>
      <c r="F95" s="128"/>
      <c r="G95" s="128"/>
      <c r="H95" s="128"/>
      <c r="I95" s="41"/>
      <c r="J95" s="129"/>
      <c r="K95" s="130"/>
    </row>
    <row r="96" spans="1:11" ht="15" customHeight="1">
      <c r="A96" s="50"/>
      <c r="B96" s="33"/>
      <c r="C96" s="38"/>
      <c r="D96" s="128"/>
      <c r="E96" s="128"/>
      <c r="F96" s="128"/>
      <c r="G96" s="128"/>
      <c r="H96" s="128"/>
      <c r="I96" s="41" t="s">
        <v>110</v>
      </c>
      <c r="J96" s="129">
        <f>J77+J94</f>
        <v>2906.002</v>
      </c>
      <c r="K96" s="130" t="s">
        <v>93</v>
      </c>
    </row>
    <row r="97" spans="1:11" ht="15" customHeight="1">
      <c r="A97" s="50"/>
      <c r="B97" s="33"/>
      <c r="C97" s="38"/>
      <c r="D97" s="128"/>
      <c r="E97" s="128"/>
      <c r="F97" s="128"/>
      <c r="G97" s="128"/>
      <c r="H97" s="128"/>
      <c r="I97" s="41"/>
      <c r="J97" s="129"/>
      <c r="K97" s="130"/>
    </row>
    <row r="98" spans="1:11" ht="15" customHeight="1">
      <c r="A98" s="50">
        <v>6</v>
      </c>
      <c r="B98" s="33" t="s">
        <v>190</v>
      </c>
      <c r="C98" s="38"/>
      <c r="D98" s="128"/>
      <c r="E98" s="128"/>
      <c r="F98" s="128"/>
      <c r="G98" s="128"/>
      <c r="H98" s="128"/>
      <c r="I98" s="41"/>
      <c r="J98" s="129"/>
      <c r="K98" s="130"/>
    </row>
    <row r="99" spans="1:11" ht="15" customHeight="1">
      <c r="A99" s="50"/>
      <c r="B99" s="33"/>
      <c r="C99" s="38"/>
      <c r="D99" s="128"/>
      <c r="E99" s="128" t="s">
        <v>191</v>
      </c>
      <c r="F99" s="128"/>
      <c r="G99" s="128"/>
      <c r="H99" s="128"/>
      <c r="I99" s="41"/>
      <c r="J99" s="129">
        <f>'Bar Bending Schedule'!J69</f>
        <v>245.26624999999999</v>
      </c>
      <c r="K99" s="130" t="s">
        <v>703</v>
      </c>
    </row>
    <row r="100" spans="1:11" ht="15" customHeight="1">
      <c r="A100" s="50"/>
      <c r="B100" s="33"/>
      <c r="C100" s="38"/>
      <c r="D100" s="128"/>
      <c r="E100" s="128"/>
      <c r="F100" s="128"/>
      <c r="G100" s="128"/>
      <c r="H100" s="128"/>
      <c r="I100" s="41"/>
      <c r="J100" s="129"/>
      <c r="K100" s="130"/>
    </row>
    <row r="101" spans="1:11" ht="15" customHeight="1">
      <c r="A101" s="50">
        <v>7</v>
      </c>
      <c r="B101" s="33" t="s">
        <v>192</v>
      </c>
      <c r="C101" s="38"/>
      <c r="D101" s="128"/>
      <c r="E101" s="128"/>
      <c r="F101" s="128"/>
      <c r="G101" s="128"/>
      <c r="H101" s="128"/>
      <c r="I101" s="41"/>
      <c r="J101" s="129"/>
      <c r="K101" s="130"/>
    </row>
    <row r="102" spans="1:11" ht="15" customHeight="1">
      <c r="A102" s="50"/>
      <c r="B102" s="33" t="s">
        <v>193</v>
      </c>
      <c r="C102" s="38"/>
      <c r="D102" s="128"/>
      <c r="E102" s="128"/>
      <c r="F102" s="128"/>
      <c r="G102" s="128"/>
      <c r="H102" s="128"/>
      <c r="I102" s="41"/>
      <c r="J102" s="129"/>
      <c r="K102" s="130"/>
    </row>
    <row r="103" spans="1:11" ht="15" customHeight="1">
      <c r="A103" s="50"/>
      <c r="B103" s="128" t="s">
        <v>194</v>
      </c>
      <c r="C103" s="38"/>
      <c r="D103" s="128"/>
      <c r="E103" s="137"/>
      <c r="F103" s="128" t="s">
        <v>195</v>
      </c>
      <c r="G103" s="128"/>
      <c r="H103" s="128"/>
      <c r="I103" s="41"/>
      <c r="J103" s="129">
        <f>2674*2/3</f>
        <v>1782.6666666666667</v>
      </c>
      <c r="K103" s="130" t="s">
        <v>93</v>
      </c>
    </row>
    <row r="104" spans="1:11" ht="15" customHeight="1">
      <c r="A104" s="50">
        <v>8</v>
      </c>
      <c r="B104" s="33" t="s">
        <v>192</v>
      </c>
      <c r="C104" s="38"/>
      <c r="D104" s="128"/>
      <c r="E104" s="128"/>
      <c r="F104" s="128"/>
      <c r="G104" s="128"/>
      <c r="H104" s="128"/>
      <c r="I104" s="41"/>
      <c r="J104" s="129"/>
      <c r="K104" s="130"/>
    </row>
    <row r="105" spans="1:11" ht="15" customHeight="1">
      <c r="A105" s="50"/>
      <c r="B105" s="33" t="s">
        <v>196</v>
      </c>
      <c r="C105" s="38"/>
      <c r="D105" s="128"/>
      <c r="E105" s="128"/>
      <c r="F105" s="128"/>
      <c r="G105" s="128"/>
      <c r="H105" s="128"/>
      <c r="I105" s="41"/>
      <c r="J105" s="129"/>
      <c r="K105" s="130"/>
    </row>
    <row r="106" spans="1:11" ht="15" customHeight="1">
      <c r="A106" s="50"/>
      <c r="B106" s="33" t="s">
        <v>197</v>
      </c>
      <c r="C106" s="38"/>
      <c r="D106" s="128"/>
      <c r="E106" s="128" t="s">
        <v>198</v>
      </c>
      <c r="F106" s="128"/>
      <c r="G106" s="128"/>
      <c r="H106" s="128"/>
      <c r="I106" s="41"/>
      <c r="J106" s="129">
        <f>2*12*16</f>
        <v>384</v>
      </c>
      <c r="K106" s="130" t="s">
        <v>93</v>
      </c>
    </row>
    <row r="107" spans="1:11" ht="15" customHeight="1">
      <c r="A107" s="50"/>
      <c r="B107" s="33" t="s">
        <v>209</v>
      </c>
      <c r="C107" s="38"/>
      <c r="D107" s="128"/>
      <c r="E107" s="128" t="s">
        <v>199</v>
      </c>
      <c r="F107" s="128"/>
      <c r="G107" s="128"/>
      <c r="H107" s="128"/>
      <c r="I107" s="41"/>
      <c r="J107" s="129">
        <v>104</v>
      </c>
      <c r="K107" s="130" t="s">
        <v>93</v>
      </c>
    </row>
    <row r="108" spans="1:11" ht="15" customHeight="1">
      <c r="A108" s="50"/>
      <c r="B108" s="33" t="s">
        <v>210</v>
      </c>
      <c r="C108" s="38"/>
      <c r="D108" s="128"/>
      <c r="E108" s="128" t="s">
        <v>200</v>
      </c>
      <c r="F108" s="128"/>
      <c r="G108" s="128"/>
      <c r="H108" s="128"/>
      <c r="I108" s="41"/>
      <c r="J108" s="129">
        <v>84</v>
      </c>
      <c r="K108" s="130" t="s">
        <v>93</v>
      </c>
    </row>
    <row r="109" spans="1:11" ht="15" customHeight="1">
      <c r="A109" s="50"/>
      <c r="B109" s="33" t="s">
        <v>211</v>
      </c>
      <c r="C109" s="38"/>
      <c r="D109" s="128"/>
      <c r="E109" s="128" t="s">
        <v>201</v>
      </c>
      <c r="F109" s="128"/>
      <c r="G109" s="128"/>
      <c r="H109" s="128"/>
      <c r="I109" s="41"/>
      <c r="J109" s="129">
        <v>32</v>
      </c>
      <c r="K109" s="130" t="s">
        <v>93</v>
      </c>
    </row>
    <row r="110" spans="1:11" ht="15" customHeight="1">
      <c r="A110" s="50"/>
      <c r="B110" s="33" t="s">
        <v>212</v>
      </c>
      <c r="C110" s="38"/>
      <c r="D110" s="128"/>
      <c r="E110" s="128" t="s">
        <v>202</v>
      </c>
      <c r="F110" s="128"/>
      <c r="G110" s="128"/>
      <c r="H110" s="128"/>
      <c r="I110" s="41"/>
      <c r="J110" s="129">
        <v>333</v>
      </c>
      <c r="K110" s="130" t="s">
        <v>93</v>
      </c>
    </row>
    <row r="111" spans="1:11" ht="15" customHeight="1">
      <c r="A111" s="50"/>
      <c r="B111" s="33" t="s">
        <v>213</v>
      </c>
      <c r="C111" s="38"/>
      <c r="D111" s="128"/>
      <c r="E111" s="128" t="s">
        <v>203</v>
      </c>
      <c r="F111" s="128"/>
      <c r="G111" s="128"/>
      <c r="H111" s="128"/>
      <c r="I111" s="41"/>
      <c r="J111" s="129">
        <v>24</v>
      </c>
      <c r="K111" s="130" t="s">
        <v>93</v>
      </c>
    </row>
    <row r="112" spans="1:11" ht="15" customHeight="1">
      <c r="A112" s="50"/>
      <c r="B112" s="33" t="s">
        <v>214</v>
      </c>
      <c r="C112" s="38"/>
      <c r="D112" s="128"/>
      <c r="E112" s="128" t="s">
        <v>204</v>
      </c>
      <c r="F112" s="128"/>
      <c r="G112" s="128"/>
      <c r="H112" s="128"/>
      <c r="I112" s="41"/>
      <c r="J112" s="129">
        <v>160</v>
      </c>
      <c r="K112" s="130" t="s">
        <v>93</v>
      </c>
    </row>
    <row r="113" spans="1:11" ht="15" customHeight="1">
      <c r="A113" s="50"/>
      <c r="B113" s="33" t="s">
        <v>215</v>
      </c>
      <c r="C113" s="38"/>
      <c r="D113" s="128"/>
      <c r="E113" s="128" t="s">
        <v>205</v>
      </c>
      <c r="F113" s="128"/>
      <c r="G113" s="128"/>
      <c r="H113" s="128"/>
      <c r="I113" s="41"/>
      <c r="J113" s="129">
        <v>192</v>
      </c>
      <c r="K113" s="130" t="s">
        <v>93</v>
      </c>
    </row>
    <row r="114" spans="1:11" ht="15" customHeight="1">
      <c r="A114" s="50"/>
      <c r="B114" s="33" t="s">
        <v>216</v>
      </c>
      <c r="C114" s="38"/>
      <c r="D114" s="128"/>
      <c r="E114" s="128" t="s">
        <v>206</v>
      </c>
      <c r="F114" s="128"/>
      <c r="G114" s="128"/>
      <c r="H114" s="128"/>
      <c r="I114" s="41"/>
      <c r="J114" s="129">
        <v>180</v>
      </c>
      <c r="K114" s="130" t="s">
        <v>93</v>
      </c>
    </row>
    <row r="115" spans="1:11" ht="15" customHeight="1">
      <c r="A115" s="50"/>
      <c r="B115" s="33" t="s">
        <v>217</v>
      </c>
      <c r="C115" s="38"/>
      <c r="D115" s="128"/>
      <c r="E115" s="128" t="s">
        <v>207</v>
      </c>
      <c r="F115" s="128"/>
      <c r="G115" s="128"/>
      <c r="H115" s="128"/>
      <c r="I115" s="41"/>
      <c r="J115" s="129">
        <v>288</v>
      </c>
      <c r="K115" s="130" t="s">
        <v>93</v>
      </c>
    </row>
    <row r="116" spans="1:11" ht="15" customHeight="1">
      <c r="A116" s="50"/>
      <c r="B116" s="33" t="s">
        <v>148</v>
      </c>
      <c r="C116" s="38"/>
      <c r="D116" s="128"/>
      <c r="E116" s="128" t="s">
        <v>208</v>
      </c>
      <c r="F116" s="128"/>
      <c r="G116" s="128"/>
      <c r="H116" s="128"/>
      <c r="I116" s="41"/>
      <c r="J116" s="129">
        <v>114</v>
      </c>
      <c r="K116" s="130" t="s">
        <v>93</v>
      </c>
    </row>
    <row r="117" spans="1:11" ht="15" customHeight="1">
      <c r="A117" s="50"/>
      <c r="B117" s="33"/>
      <c r="C117" s="38"/>
      <c r="D117" s="128"/>
      <c r="E117" s="128"/>
      <c r="F117" s="128"/>
      <c r="G117" s="128"/>
      <c r="H117" s="128"/>
      <c r="I117" s="41"/>
      <c r="J117" s="131">
        <f>SUM(J106:J116)</f>
        <v>1895</v>
      </c>
      <c r="K117" s="132" t="s">
        <v>93</v>
      </c>
    </row>
    <row r="118" spans="1:11" ht="15" customHeight="1">
      <c r="A118" s="50"/>
      <c r="C118" s="38"/>
      <c r="D118" s="128"/>
      <c r="E118" s="128"/>
      <c r="F118" s="128"/>
      <c r="G118" s="128"/>
      <c r="H118" s="128"/>
      <c r="I118" s="41"/>
      <c r="J118" s="129"/>
      <c r="K118" s="130"/>
    </row>
    <row r="119" spans="1:11" ht="15" customHeight="1">
      <c r="A119" s="50"/>
      <c r="B119" s="33" t="s">
        <v>218</v>
      </c>
      <c r="C119" s="38"/>
      <c r="D119" s="128"/>
      <c r="E119" s="128" t="s">
        <v>219</v>
      </c>
      <c r="F119" s="128"/>
      <c r="G119" s="128"/>
      <c r="H119" s="128"/>
      <c r="I119" s="41"/>
      <c r="J119" s="129">
        <f>1895*3</f>
        <v>5685</v>
      </c>
      <c r="K119" s="130" t="s">
        <v>8</v>
      </c>
    </row>
    <row r="120" spans="1:11" ht="15" customHeight="1">
      <c r="A120" s="50"/>
      <c r="B120" s="33"/>
      <c r="C120" s="38"/>
      <c r="D120" s="128"/>
      <c r="E120" s="128"/>
      <c r="F120" s="128"/>
      <c r="G120" s="128"/>
      <c r="H120" s="128"/>
      <c r="I120" s="41"/>
      <c r="J120" s="129"/>
      <c r="K120" s="130"/>
    </row>
    <row r="121" spans="1:11" ht="15" customHeight="1">
      <c r="A121" s="50"/>
      <c r="B121" s="33" t="s">
        <v>68</v>
      </c>
      <c r="C121" s="38"/>
      <c r="D121" s="128"/>
      <c r="E121" s="128"/>
      <c r="F121" s="128"/>
      <c r="G121" s="128"/>
      <c r="H121" s="128"/>
      <c r="I121" s="41"/>
      <c r="J121" s="129"/>
      <c r="K121" s="130"/>
    </row>
    <row r="122" spans="1:11" ht="15" customHeight="1">
      <c r="A122" s="50"/>
      <c r="B122" s="33" t="s">
        <v>220</v>
      </c>
      <c r="C122" s="38"/>
      <c r="D122" s="128"/>
      <c r="E122" s="128"/>
      <c r="F122" s="128"/>
      <c r="G122" s="128"/>
      <c r="H122" s="128"/>
      <c r="I122" s="41"/>
      <c r="J122" s="129">
        <v>891</v>
      </c>
      <c r="K122" s="130" t="s">
        <v>93</v>
      </c>
    </row>
    <row r="123" spans="1:11" ht="15" customHeight="1">
      <c r="A123" s="50"/>
      <c r="B123" s="33" t="s">
        <v>221</v>
      </c>
      <c r="C123" s="38"/>
      <c r="D123" s="128"/>
      <c r="E123" s="128"/>
      <c r="F123" s="128"/>
      <c r="G123" s="128"/>
      <c r="H123" s="128"/>
      <c r="I123" s="41"/>
      <c r="J123" s="129">
        <v>2305</v>
      </c>
      <c r="K123" s="130" t="s">
        <v>93</v>
      </c>
    </row>
    <row r="124" spans="1:11" ht="15" customHeight="1">
      <c r="A124" s="50"/>
      <c r="B124" s="33"/>
      <c r="C124" s="38"/>
      <c r="D124" s="128"/>
      <c r="E124" s="128"/>
      <c r="F124" s="128"/>
      <c r="G124" s="128"/>
      <c r="H124" s="128"/>
      <c r="I124" s="41"/>
      <c r="J124" s="129">
        <f>SUM(J122:J123)</f>
        <v>3196</v>
      </c>
      <c r="K124" s="130" t="s">
        <v>93</v>
      </c>
    </row>
    <row r="125" spans="1:11" ht="15" customHeight="1">
      <c r="A125" s="50"/>
      <c r="B125" s="33"/>
      <c r="C125" s="38"/>
      <c r="D125" s="128"/>
      <c r="E125" s="128"/>
      <c r="F125" s="128"/>
      <c r="G125" s="128"/>
      <c r="H125" s="128"/>
      <c r="I125" s="41"/>
      <c r="J125" s="129"/>
      <c r="K125" s="130"/>
    </row>
    <row r="126" spans="1:11" ht="15" customHeight="1">
      <c r="A126" s="50"/>
      <c r="B126" s="33"/>
      <c r="C126" s="38"/>
      <c r="D126" s="128"/>
      <c r="E126" s="128" t="s">
        <v>222</v>
      </c>
      <c r="F126" s="128"/>
      <c r="G126" s="128"/>
      <c r="H126" s="128"/>
      <c r="I126" s="41"/>
      <c r="J126" s="129">
        <f>J119-J124</f>
        <v>2489</v>
      </c>
      <c r="K126" s="130" t="s">
        <v>93</v>
      </c>
    </row>
    <row r="127" spans="1:11" ht="15" customHeight="1">
      <c r="A127" s="50"/>
      <c r="B127" s="33"/>
      <c r="C127" s="38"/>
      <c r="D127" s="128"/>
      <c r="E127" s="128"/>
      <c r="F127" s="128"/>
      <c r="G127" s="128"/>
      <c r="H127" s="128"/>
      <c r="I127" s="41"/>
      <c r="J127" s="129"/>
      <c r="K127" s="130"/>
    </row>
    <row r="128" spans="1:11" ht="15" customHeight="1">
      <c r="A128" s="50"/>
      <c r="B128" s="33"/>
      <c r="C128" s="38"/>
      <c r="D128" s="128"/>
      <c r="E128" s="128"/>
      <c r="F128" s="128"/>
      <c r="G128" s="128"/>
      <c r="H128" s="128"/>
      <c r="I128" s="41"/>
      <c r="J128" s="129"/>
      <c r="K128" s="130"/>
    </row>
    <row r="129" spans="1:11" ht="15" customHeight="1">
      <c r="A129" s="50">
        <v>9</v>
      </c>
      <c r="B129" s="33" t="s">
        <v>223</v>
      </c>
      <c r="C129" s="38"/>
      <c r="D129" s="128"/>
      <c r="E129" s="128"/>
      <c r="F129" s="128"/>
      <c r="G129" s="128"/>
      <c r="H129" s="128"/>
      <c r="I129" s="41"/>
      <c r="J129" s="129"/>
      <c r="K129" s="130"/>
    </row>
    <row r="130" spans="1:11" ht="15" customHeight="1">
      <c r="A130" s="50"/>
      <c r="B130" s="138">
        <v>4.5254629629629624E-2</v>
      </c>
      <c r="C130" s="38"/>
      <c r="D130" s="128"/>
      <c r="E130" s="128"/>
      <c r="F130" s="128"/>
      <c r="G130" s="128"/>
      <c r="H130" s="128"/>
      <c r="I130" s="41"/>
      <c r="J130" s="129"/>
      <c r="K130" s="130"/>
    </row>
    <row r="131" spans="1:11" ht="15" customHeight="1">
      <c r="A131" s="50"/>
      <c r="B131" s="33" t="s">
        <v>224</v>
      </c>
      <c r="C131" s="38"/>
      <c r="D131" s="128"/>
      <c r="E131" s="128" t="s">
        <v>225</v>
      </c>
      <c r="F131" s="128"/>
      <c r="G131" s="128"/>
      <c r="H131" s="128"/>
      <c r="I131" s="41"/>
      <c r="J131" s="129">
        <f>1895*0.33</f>
        <v>625.35</v>
      </c>
      <c r="K131" s="130" t="s">
        <v>93</v>
      </c>
    </row>
    <row r="132" spans="1:11" ht="15" customHeight="1">
      <c r="A132" s="50"/>
      <c r="B132" s="33"/>
      <c r="C132" s="38"/>
      <c r="D132" s="128"/>
      <c r="E132" s="128"/>
      <c r="F132" s="128"/>
      <c r="G132" s="128"/>
      <c r="H132" s="128"/>
      <c r="I132" s="41"/>
      <c r="J132" s="129"/>
      <c r="K132" s="130"/>
    </row>
    <row r="133" spans="1:11" ht="15" customHeight="1">
      <c r="A133" s="50">
        <v>10</v>
      </c>
      <c r="B133" s="33" t="s">
        <v>226</v>
      </c>
      <c r="C133" s="38"/>
      <c r="D133" s="128"/>
      <c r="E133" s="128"/>
      <c r="F133" s="128"/>
      <c r="G133" s="128"/>
      <c r="H133" s="128"/>
      <c r="I133" s="41"/>
      <c r="J133" s="129"/>
      <c r="K133" s="130"/>
    </row>
    <row r="134" spans="1:11" ht="15" customHeight="1">
      <c r="A134" s="50"/>
      <c r="B134" s="33" t="s">
        <v>147</v>
      </c>
      <c r="C134" s="38"/>
      <c r="D134" s="128"/>
      <c r="E134" s="128" t="s">
        <v>227</v>
      </c>
      <c r="F134" s="128"/>
      <c r="G134" s="128"/>
      <c r="H134" s="128"/>
      <c r="I134" s="41"/>
      <c r="J134" s="129">
        <f>4*17*1</f>
        <v>68</v>
      </c>
      <c r="K134" s="130" t="s">
        <v>8</v>
      </c>
    </row>
    <row r="135" spans="1:11" ht="15" customHeight="1">
      <c r="A135" s="50"/>
      <c r="B135" s="33"/>
      <c r="C135" s="38"/>
      <c r="D135" s="128"/>
      <c r="E135" s="128"/>
      <c r="F135" s="128"/>
      <c r="G135" s="128"/>
      <c r="H135" s="128"/>
      <c r="I135" s="41"/>
      <c r="J135" s="129"/>
      <c r="K135" s="130"/>
    </row>
    <row r="136" spans="1:11" ht="15" customHeight="1">
      <c r="A136" s="50">
        <v>11</v>
      </c>
      <c r="B136" s="33" t="s">
        <v>228</v>
      </c>
      <c r="C136" s="38"/>
      <c r="D136" s="128"/>
      <c r="E136" s="128"/>
      <c r="F136" s="128"/>
      <c r="G136" s="128"/>
      <c r="H136" s="128"/>
      <c r="I136" s="41"/>
      <c r="J136" s="129"/>
      <c r="K136" s="130"/>
    </row>
    <row r="137" spans="1:11" ht="15" customHeight="1">
      <c r="A137" s="50"/>
      <c r="B137" s="33" t="s">
        <v>229</v>
      </c>
      <c r="C137" s="38"/>
      <c r="D137" s="128"/>
      <c r="E137" s="128" t="s">
        <v>230</v>
      </c>
      <c r="F137" s="128"/>
      <c r="G137" s="128"/>
      <c r="H137" s="128"/>
      <c r="I137" s="41"/>
      <c r="J137" s="129">
        <f>1*2*(47+58.5)*3</f>
        <v>633</v>
      </c>
      <c r="K137" s="130" t="s">
        <v>8</v>
      </c>
    </row>
    <row r="138" spans="1:11" ht="15" customHeight="1">
      <c r="A138" s="50"/>
      <c r="B138" s="33"/>
      <c r="C138" s="38"/>
      <c r="D138" s="128"/>
      <c r="E138" s="128"/>
      <c r="F138" s="128"/>
      <c r="G138" s="128"/>
      <c r="H138" s="128"/>
      <c r="I138" s="41"/>
      <c r="J138" s="129"/>
      <c r="K138" s="130"/>
    </row>
    <row r="139" spans="1:11" ht="15" customHeight="1">
      <c r="A139" s="50"/>
      <c r="B139" s="180" t="s">
        <v>231</v>
      </c>
      <c r="C139" s="181"/>
      <c r="D139" s="128"/>
      <c r="E139" s="128"/>
      <c r="F139" s="128"/>
      <c r="G139" s="128"/>
      <c r="H139" s="128"/>
      <c r="I139" s="41"/>
      <c r="J139" s="129"/>
      <c r="K139" s="130"/>
    </row>
    <row r="140" spans="1:11" ht="15" customHeight="1">
      <c r="A140" s="50">
        <v>1</v>
      </c>
      <c r="B140" s="33" t="s">
        <v>232</v>
      </c>
      <c r="C140" s="38"/>
      <c r="D140" s="128"/>
      <c r="E140" s="128"/>
      <c r="F140" s="128"/>
      <c r="G140" s="128"/>
      <c r="H140" s="128"/>
      <c r="I140" s="41"/>
      <c r="J140" s="129"/>
      <c r="K140" s="130"/>
    </row>
    <row r="141" spans="1:11" ht="15" customHeight="1">
      <c r="A141" s="50"/>
      <c r="B141" s="33"/>
      <c r="C141" s="38"/>
      <c r="D141" s="128"/>
      <c r="E141" s="128" t="s">
        <v>233</v>
      </c>
      <c r="F141" s="128"/>
      <c r="G141" s="128"/>
      <c r="H141" s="128"/>
      <c r="I141" s="41"/>
      <c r="J141" s="129">
        <f>'Bar Bending Schedule'!J189</f>
        <v>222.97348214285714</v>
      </c>
      <c r="K141" s="130" t="s">
        <v>703</v>
      </c>
    </row>
    <row r="142" spans="1:11" ht="15" customHeight="1">
      <c r="A142" s="50"/>
      <c r="B142" s="33"/>
      <c r="C142" s="38"/>
      <c r="D142" s="128"/>
      <c r="E142" s="128"/>
      <c r="F142" s="128"/>
      <c r="G142" s="128"/>
      <c r="H142" s="128"/>
      <c r="I142" s="41"/>
      <c r="J142" s="129"/>
      <c r="K142" s="130"/>
    </row>
    <row r="143" spans="1:11" ht="15" customHeight="1">
      <c r="A143" s="50">
        <v>2</v>
      </c>
      <c r="B143" s="33" t="s">
        <v>234</v>
      </c>
      <c r="C143" s="38"/>
      <c r="D143" s="128"/>
      <c r="E143" s="128"/>
      <c r="F143" s="128"/>
      <c r="G143" s="128"/>
      <c r="H143" s="128"/>
      <c r="I143" s="41"/>
      <c r="J143" s="129"/>
      <c r="K143" s="130"/>
    </row>
    <row r="144" spans="1:11" ht="15" customHeight="1">
      <c r="A144" s="50"/>
      <c r="B144" s="33" t="s">
        <v>235</v>
      </c>
      <c r="C144" s="38"/>
      <c r="D144" s="128"/>
      <c r="E144" s="128" t="s">
        <v>253</v>
      </c>
      <c r="F144" s="128"/>
      <c r="G144" s="128"/>
      <c r="H144" s="128"/>
      <c r="I144" s="41"/>
      <c r="J144" s="129">
        <f>24*2*0.67*7.17</f>
        <v>230.58720000000002</v>
      </c>
      <c r="K144" s="130" t="s">
        <v>93</v>
      </c>
    </row>
    <row r="145" spans="1:19" ht="15" customHeight="1">
      <c r="A145" s="50"/>
      <c r="B145" s="33" t="s">
        <v>236</v>
      </c>
      <c r="C145" s="38"/>
      <c r="D145" s="128"/>
      <c r="E145" s="128" t="s">
        <v>254</v>
      </c>
      <c r="F145" s="128"/>
      <c r="G145" s="128"/>
      <c r="H145" s="128"/>
      <c r="I145" s="41"/>
      <c r="J145" s="129">
        <f>1*38.5*0.67*3.5</f>
        <v>90.282499999999999</v>
      </c>
      <c r="K145" s="130" t="s">
        <v>93</v>
      </c>
    </row>
    <row r="146" spans="1:19" ht="15" customHeight="1">
      <c r="A146" s="50"/>
      <c r="B146" s="33" t="s">
        <v>237</v>
      </c>
      <c r="C146" s="38"/>
      <c r="D146" s="128"/>
      <c r="E146" s="128" t="s">
        <v>255</v>
      </c>
      <c r="F146" s="128"/>
      <c r="G146" s="128"/>
      <c r="H146" s="128"/>
      <c r="I146" s="41"/>
      <c r="J146" s="129">
        <f>1*47*0.67*3.5</f>
        <v>110.215</v>
      </c>
      <c r="K146" s="130" t="s">
        <v>93</v>
      </c>
    </row>
    <row r="147" spans="1:19" ht="15" customHeight="1">
      <c r="A147" s="50"/>
      <c r="B147" s="33" t="s">
        <v>238</v>
      </c>
      <c r="C147" s="38"/>
      <c r="D147" s="128"/>
      <c r="E147" s="128" t="s">
        <v>256</v>
      </c>
      <c r="F147" s="128"/>
      <c r="G147" s="128"/>
      <c r="H147" s="128"/>
      <c r="I147" s="41"/>
      <c r="J147" s="129">
        <f>6*15.83*0.67*3.5</f>
        <v>222.72810000000004</v>
      </c>
      <c r="K147" s="130" t="s">
        <v>93</v>
      </c>
    </row>
    <row r="148" spans="1:19" ht="15" customHeight="1">
      <c r="A148" s="50"/>
      <c r="B148" s="33" t="s">
        <v>239</v>
      </c>
      <c r="C148" s="38"/>
      <c r="D148" s="128"/>
      <c r="E148" s="128" t="s">
        <v>257</v>
      </c>
      <c r="F148" s="128"/>
      <c r="G148" s="128"/>
      <c r="H148" s="128"/>
      <c r="I148" s="41"/>
      <c r="J148" s="129">
        <f>1*17*0.67*3.5</f>
        <v>39.865000000000002</v>
      </c>
      <c r="K148" s="130" t="s">
        <v>93</v>
      </c>
      <c r="L148" s="36"/>
      <c r="M148" s="36"/>
      <c r="N148" s="36"/>
      <c r="O148" s="36"/>
      <c r="P148" s="36"/>
      <c r="Q148" s="36"/>
      <c r="R148" s="36"/>
      <c r="S148" s="36"/>
    </row>
    <row r="149" spans="1:19" ht="15" customHeight="1">
      <c r="A149" s="50"/>
      <c r="B149" s="33" t="s">
        <v>148</v>
      </c>
      <c r="C149" s="38"/>
      <c r="D149" s="128"/>
      <c r="E149" s="128" t="s">
        <v>258</v>
      </c>
      <c r="F149" s="128"/>
      <c r="G149" s="128"/>
      <c r="H149" s="128"/>
      <c r="I149" s="41"/>
      <c r="J149" s="129">
        <f>1*16*0.67*3.5</f>
        <v>37.520000000000003</v>
      </c>
      <c r="K149" s="130" t="s">
        <v>93</v>
      </c>
      <c r="L149" s="36"/>
      <c r="M149" s="36"/>
      <c r="N149" s="36"/>
      <c r="O149" s="36"/>
      <c r="P149" s="36"/>
      <c r="Q149" s="36"/>
      <c r="R149" s="36"/>
      <c r="S149" s="36"/>
    </row>
    <row r="150" spans="1:19" ht="15" customHeight="1">
      <c r="A150" s="50"/>
      <c r="B150" s="33" t="s">
        <v>240</v>
      </c>
      <c r="C150" s="38"/>
      <c r="D150" s="128"/>
      <c r="E150" s="128" t="s">
        <v>259</v>
      </c>
      <c r="F150" s="128"/>
      <c r="G150" s="128"/>
      <c r="H150" s="128"/>
      <c r="I150" s="41"/>
      <c r="J150" s="129">
        <f>2*11.83*0.67*3.5</f>
        <v>55.482700000000008</v>
      </c>
      <c r="K150" s="130" t="s">
        <v>93</v>
      </c>
      <c r="L150" s="36"/>
      <c r="M150" s="36"/>
      <c r="N150" s="36"/>
      <c r="O150" s="36"/>
      <c r="P150" s="36"/>
      <c r="Q150" s="36"/>
      <c r="R150" s="36"/>
      <c r="S150" s="36"/>
    </row>
    <row r="151" spans="1:19" ht="15" customHeight="1">
      <c r="A151" s="50"/>
      <c r="B151" s="33" t="s">
        <v>241</v>
      </c>
      <c r="C151" s="38"/>
      <c r="D151" s="128"/>
      <c r="E151" s="128" t="s">
        <v>258</v>
      </c>
      <c r="F151" s="128"/>
      <c r="G151" s="128"/>
      <c r="H151" s="128"/>
      <c r="I151" s="41"/>
      <c r="J151" s="129">
        <f>1*16*0.67*3.5</f>
        <v>37.520000000000003</v>
      </c>
      <c r="K151" s="130" t="s">
        <v>93</v>
      </c>
      <c r="L151" s="36"/>
      <c r="M151" s="36"/>
      <c r="N151" s="36"/>
      <c r="O151" s="36"/>
      <c r="P151" s="36"/>
      <c r="Q151" s="36"/>
      <c r="R151" s="36"/>
      <c r="S151" s="36"/>
    </row>
    <row r="152" spans="1:19" ht="15" customHeight="1">
      <c r="A152" s="50"/>
      <c r="B152" s="33" t="s">
        <v>242</v>
      </c>
      <c r="C152" s="38"/>
      <c r="D152" s="128"/>
      <c r="E152" s="128" t="s">
        <v>260</v>
      </c>
      <c r="F152" s="128"/>
      <c r="G152" s="128"/>
      <c r="H152" s="128"/>
      <c r="I152" s="41"/>
      <c r="J152" s="129">
        <f>1*24.5*0.67*3.5</f>
        <v>57.452500000000008</v>
      </c>
      <c r="K152" s="130" t="s">
        <v>93</v>
      </c>
      <c r="L152" s="36"/>
      <c r="M152" s="36"/>
      <c r="N152" s="36"/>
      <c r="O152" s="36"/>
      <c r="P152" s="36"/>
      <c r="Q152" s="36"/>
      <c r="R152" s="36"/>
      <c r="S152" s="36"/>
    </row>
    <row r="153" spans="1:19" ht="15" customHeight="1">
      <c r="A153" s="50"/>
      <c r="B153" s="33" t="s">
        <v>243</v>
      </c>
      <c r="C153" s="38"/>
      <c r="D153" s="128"/>
      <c r="E153" s="128" t="s">
        <v>261</v>
      </c>
      <c r="F153" s="128"/>
      <c r="G153" s="128"/>
      <c r="H153" s="128"/>
      <c r="I153" s="41"/>
      <c r="J153" s="129">
        <f>1*18*0.67*3.5</f>
        <v>42.21</v>
      </c>
      <c r="K153" s="130" t="s">
        <v>93</v>
      </c>
      <c r="L153" s="36"/>
      <c r="M153" s="36"/>
      <c r="N153" s="36"/>
      <c r="O153" s="36"/>
      <c r="P153" s="36"/>
      <c r="Q153" s="36"/>
      <c r="R153" s="36"/>
      <c r="S153" s="36"/>
    </row>
    <row r="154" spans="1:19" ht="15" customHeight="1">
      <c r="A154" s="50"/>
      <c r="B154" s="33" t="s">
        <v>244</v>
      </c>
      <c r="C154" s="38"/>
      <c r="D154" s="128"/>
      <c r="E154" s="128" t="s">
        <v>262</v>
      </c>
      <c r="F154" s="128"/>
      <c r="G154" s="128"/>
      <c r="H154" s="128"/>
      <c r="I154" s="41"/>
      <c r="J154" s="129">
        <f>1*23.5*0.67*3.5</f>
        <v>55.107500000000002</v>
      </c>
      <c r="K154" s="130" t="s">
        <v>93</v>
      </c>
      <c r="L154" s="36"/>
      <c r="M154" s="28"/>
      <c r="N154" s="36"/>
      <c r="O154" s="36"/>
      <c r="P154" s="28"/>
      <c r="Q154" s="28"/>
      <c r="R154" s="36"/>
      <c r="S154" s="36"/>
    </row>
    <row r="155" spans="1:19" ht="15" customHeight="1">
      <c r="A155" s="50"/>
      <c r="B155" s="33" t="s">
        <v>245</v>
      </c>
      <c r="C155" s="38"/>
      <c r="D155" s="128"/>
      <c r="E155" s="128" t="s">
        <v>263</v>
      </c>
      <c r="F155" s="128"/>
      <c r="G155" s="128"/>
      <c r="H155" s="128"/>
      <c r="I155" s="41"/>
      <c r="J155" s="129">
        <f>1*41.5*0.67*3.5</f>
        <v>97.31750000000001</v>
      </c>
      <c r="K155" s="130" t="s">
        <v>93</v>
      </c>
      <c r="L155" s="36"/>
      <c r="M155" s="36"/>
      <c r="N155" s="36"/>
      <c r="O155" s="36"/>
      <c r="P155" s="36"/>
      <c r="Q155" s="36"/>
      <c r="R155" s="36"/>
      <c r="S155" s="36"/>
    </row>
    <row r="156" spans="1:19" ht="15" customHeight="1">
      <c r="A156" s="50"/>
      <c r="B156" s="33" t="s">
        <v>246</v>
      </c>
      <c r="C156" s="38"/>
      <c r="D156" s="128"/>
      <c r="E156" s="8" t="s">
        <v>264</v>
      </c>
      <c r="F156" s="128"/>
      <c r="G156" s="128"/>
      <c r="H156" s="128"/>
      <c r="I156" s="41"/>
      <c r="J156" s="131">
        <f>1*55*0.67*3.5</f>
        <v>128.97499999999999</v>
      </c>
      <c r="K156" s="130" t="s">
        <v>93</v>
      </c>
      <c r="L156" s="36"/>
      <c r="M156" s="36"/>
      <c r="N156" s="36"/>
      <c r="O156" s="36"/>
      <c r="P156" s="36"/>
      <c r="Q156" s="36"/>
      <c r="R156" s="36"/>
      <c r="S156" s="36"/>
    </row>
    <row r="157" spans="1:19" ht="15" customHeight="1">
      <c r="A157" s="50"/>
      <c r="B157" s="35" t="s">
        <v>247</v>
      </c>
      <c r="C157" s="38"/>
      <c r="D157" s="128"/>
      <c r="E157" s="128" t="s">
        <v>265</v>
      </c>
      <c r="F157" s="128"/>
      <c r="G157" s="128"/>
      <c r="H157" s="128"/>
      <c r="I157" s="41"/>
      <c r="J157" s="129">
        <f>2*7.83*0.67*3.5</f>
        <v>36.722700000000003</v>
      </c>
      <c r="K157" s="130" t="s">
        <v>93</v>
      </c>
      <c r="L157" s="36"/>
      <c r="M157" s="36"/>
      <c r="N157" s="36"/>
      <c r="O157" s="36"/>
      <c r="P157" s="36"/>
      <c r="Q157" s="36"/>
      <c r="R157" s="36"/>
      <c r="S157" s="36"/>
    </row>
    <row r="158" spans="1:19" ht="15" customHeight="1">
      <c r="A158" s="50"/>
      <c r="B158" s="35" t="s">
        <v>248</v>
      </c>
      <c r="C158" s="38"/>
      <c r="D158" s="128"/>
      <c r="E158" s="128" t="s">
        <v>266</v>
      </c>
      <c r="F158" s="128"/>
      <c r="G158" s="128"/>
      <c r="H158" s="128"/>
      <c r="I158" s="41"/>
      <c r="J158" s="129">
        <f>1*47*58.5*0.5</f>
        <v>1374.75</v>
      </c>
      <c r="K158" s="130" t="s">
        <v>93</v>
      </c>
      <c r="L158" s="36"/>
      <c r="M158" s="36"/>
      <c r="N158" s="36"/>
      <c r="O158" s="36"/>
      <c r="P158" s="36"/>
      <c r="Q158" s="36"/>
      <c r="R158" s="36"/>
      <c r="S158" s="36"/>
    </row>
    <row r="159" spans="1:19" ht="15" customHeight="1">
      <c r="A159" s="50"/>
      <c r="B159" s="35" t="s">
        <v>249</v>
      </c>
      <c r="C159" s="38"/>
      <c r="D159" s="128"/>
      <c r="E159" s="128" t="s">
        <v>267</v>
      </c>
      <c r="F159" s="128"/>
      <c r="G159" s="128"/>
      <c r="H159" s="128"/>
      <c r="I159" s="41"/>
      <c r="J159" s="129">
        <f>1*18*4*0.5</f>
        <v>36</v>
      </c>
      <c r="K159" s="130" t="s">
        <v>93</v>
      </c>
      <c r="L159" s="13"/>
    </row>
    <row r="160" spans="1:19" ht="15" customHeight="1">
      <c r="A160" s="50"/>
      <c r="B160" s="35" t="s">
        <v>250</v>
      </c>
      <c r="C160" s="38"/>
      <c r="D160" s="128"/>
      <c r="E160" s="128" t="s">
        <v>268</v>
      </c>
      <c r="F160" s="128"/>
      <c r="G160" s="128"/>
      <c r="H160" s="128"/>
      <c r="I160" s="41"/>
      <c r="J160" s="129">
        <f>5*7*1*0.5</f>
        <v>17.5</v>
      </c>
      <c r="K160" s="130" t="s">
        <v>93</v>
      </c>
      <c r="L160" s="13"/>
    </row>
    <row r="161" spans="1:12" ht="15" customHeight="1">
      <c r="A161" s="50"/>
      <c r="B161" s="35" t="s">
        <v>251</v>
      </c>
      <c r="C161" s="38"/>
      <c r="D161" s="128"/>
      <c r="E161" s="128" t="s">
        <v>269</v>
      </c>
      <c r="F161" s="128"/>
      <c r="G161" s="128"/>
      <c r="H161" s="128"/>
      <c r="I161" s="41"/>
      <c r="J161" s="129">
        <f>1*5*1*0.5</f>
        <v>2.5</v>
      </c>
      <c r="K161" s="130" t="s">
        <v>93</v>
      </c>
      <c r="L161" s="13"/>
    </row>
    <row r="162" spans="1:12" ht="15" customHeight="1">
      <c r="A162" s="50"/>
      <c r="B162" s="35" t="s">
        <v>252</v>
      </c>
      <c r="C162" s="38"/>
      <c r="D162" s="128"/>
      <c r="E162" s="128" t="s">
        <v>270</v>
      </c>
      <c r="F162" s="128"/>
      <c r="G162" s="128"/>
      <c r="H162" s="128"/>
      <c r="I162" s="41"/>
      <c r="J162" s="129">
        <f>3*3*1*0.5</f>
        <v>4.5</v>
      </c>
      <c r="K162" s="130" t="s">
        <v>93</v>
      </c>
      <c r="L162" s="13"/>
    </row>
    <row r="163" spans="1:12" ht="15" customHeight="1">
      <c r="A163" s="50"/>
      <c r="B163" s="35"/>
      <c r="C163" s="38"/>
      <c r="D163" s="128"/>
      <c r="E163" s="128"/>
      <c r="F163" s="128"/>
      <c r="G163" s="128"/>
      <c r="H163" s="128"/>
      <c r="I163" s="41"/>
      <c r="J163" s="131">
        <f>SUM(J144:J162)</f>
        <v>2677.2357000000002</v>
      </c>
      <c r="K163" s="132" t="s">
        <v>93</v>
      </c>
      <c r="L163" s="13"/>
    </row>
    <row r="164" spans="1:12" ht="15" customHeight="1">
      <c r="A164" s="50"/>
      <c r="B164" s="35"/>
      <c r="C164" s="38"/>
      <c r="D164" s="128"/>
      <c r="E164" s="128"/>
      <c r="F164" s="128"/>
      <c r="G164" s="128"/>
      <c r="H164" s="128"/>
      <c r="I164" s="41"/>
      <c r="J164" s="129"/>
      <c r="K164" s="130"/>
      <c r="L164" s="13"/>
    </row>
    <row r="165" spans="1:12" ht="15" customHeight="1">
      <c r="A165" s="50"/>
      <c r="B165" s="35" t="s">
        <v>68</v>
      </c>
      <c r="C165" s="38"/>
      <c r="D165" s="128"/>
      <c r="E165" s="128"/>
      <c r="F165" s="128"/>
      <c r="G165" s="128"/>
      <c r="H165" s="128"/>
      <c r="I165" s="41"/>
      <c r="J165" s="129"/>
      <c r="K165" s="130"/>
      <c r="L165" s="13"/>
    </row>
    <row r="166" spans="1:12" ht="15" customHeight="1">
      <c r="A166" s="50"/>
      <c r="B166" s="35" t="s">
        <v>271</v>
      </c>
      <c r="C166" s="38"/>
      <c r="D166" s="128"/>
      <c r="E166" s="128" t="s">
        <v>274</v>
      </c>
      <c r="F166" s="128"/>
      <c r="G166" s="128"/>
      <c r="H166" s="128"/>
      <c r="I166" s="41"/>
      <c r="J166" s="129">
        <f>1*3.5*3.5*0.5</f>
        <v>6.125</v>
      </c>
      <c r="K166" s="130" t="s">
        <v>93</v>
      </c>
      <c r="L166" s="13"/>
    </row>
    <row r="167" spans="1:12" ht="15" customHeight="1">
      <c r="A167" s="50"/>
      <c r="B167" s="35" t="s">
        <v>272</v>
      </c>
      <c r="C167" s="38"/>
      <c r="D167" s="128"/>
      <c r="E167" s="128" t="s">
        <v>275</v>
      </c>
      <c r="F167" s="128"/>
      <c r="G167" s="128"/>
      <c r="H167" s="128"/>
      <c r="I167" s="41"/>
      <c r="J167" s="129">
        <f>1*11.75*7*0.5</f>
        <v>41.125</v>
      </c>
      <c r="K167" s="130" t="s">
        <v>93</v>
      </c>
      <c r="L167" s="13"/>
    </row>
    <row r="168" spans="1:12" ht="15" customHeight="1">
      <c r="A168" s="50"/>
      <c r="B168" s="35" t="s">
        <v>273</v>
      </c>
      <c r="C168" s="38"/>
      <c r="D168" s="128"/>
      <c r="E168" s="128" t="s">
        <v>276</v>
      </c>
      <c r="F168" s="128"/>
      <c r="G168" s="128"/>
      <c r="H168" s="128"/>
      <c r="I168" s="41"/>
      <c r="J168" s="129">
        <f>1*12.5*5.5*0.5</f>
        <v>34.375</v>
      </c>
      <c r="K168" s="130" t="s">
        <v>93</v>
      </c>
      <c r="L168" s="13"/>
    </row>
    <row r="169" spans="1:12" ht="15" customHeight="1">
      <c r="A169" s="50"/>
      <c r="B169" s="35"/>
      <c r="C169" s="38"/>
      <c r="D169" s="128"/>
      <c r="E169" s="128"/>
      <c r="F169" s="128"/>
      <c r="G169" s="128"/>
      <c r="H169" s="128"/>
      <c r="I169" s="41"/>
      <c r="J169" s="129">
        <f>SUM(J166:J168)</f>
        <v>81.625</v>
      </c>
      <c r="K169" s="130" t="s">
        <v>93</v>
      </c>
      <c r="L169" s="13"/>
    </row>
    <row r="170" spans="1:12" ht="15" customHeight="1">
      <c r="A170" s="50"/>
      <c r="B170" s="35"/>
      <c r="C170" s="38"/>
      <c r="D170" s="128"/>
      <c r="E170" s="128"/>
      <c r="F170" s="128"/>
      <c r="G170" s="128"/>
      <c r="H170" s="128"/>
      <c r="I170" s="41"/>
      <c r="J170" s="129"/>
      <c r="K170" s="130"/>
      <c r="L170" s="13"/>
    </row>
    <row r="171" spans="1:12" ht="15" customHeight="1">
      <c r="A171" s="50"/>
      <c r="B171" s="35"/>
      <c r="C171" s="38"/>
      <c r="D171" s="128"/>
      <c r="E171" s="128"/>
      <c r="F171" s="128"/>
      <c r="G171" s="128"/>
      <c r="H171" s="128"/>
      <c r="I171" s="41"/>
      <c r="J171" s="129">
        <f>J163-J169</f>
        <v>2595.6107000000002</v>
      </c>
      <c r="K171" s="130" t="s">
        <v>93</v>
      </c>
      <c r="L171" s="13"/>
    </row>
    <row r="172" spans="1:12" ht="15" customHeight="1">
      <c r="A172" s="50"/>
      <c r="B172" s="35"/>
      <c r="C172" s="38"/>
      <c r="D172" s="128"/>
      <c r="E172" s="128"/>
      <c r="F172" s="128"/>
      <c r="G172" s="128"/>
      <c r="H172" s="128"/>
      <c r="I172" s="41"/>
      <c r="J172" s="129"/>
      <c r="K172" s="130"/>
      <c r="L172" s="13"/>
    </row>
    <row r="173" spans="1:12" ht="15" customHeight="1">
      <c r="A173" s="50">
        <v>3</v>
      </c>
      <c r="B173" s="35" t="s">
        <v>277</v>
      </c>
      <c r="C173" s="38"/>
      <c r="D173" s="128"/>
      <c r="E173" s="128"/>
      <c r="F173" s="128"/>
      <c r="G173" s="128"/>
      <c r="H173" s="128"/>
      <c r="I173" s="41"/>
      <c r="J173" s="129"/>
      <c r="K173" s="130"/>
      <c r="L173" s="13"/>
    </row>
    <row r="174" spans="1:12" ht="15" customHeight="1">
      <c r="A174" s="50"/>
      <c r="B174" s="35" t="s">
        <v>278</v>
      </c>
      <c r="C174" s="38"/>
      <c r="D174" s="128"/>
      <c r="E174" s="128"/>
      <c r="F174" s="128"/>
      <c r="G174" s="128"/>
      <c r="H174" s="128"/>
      <c r="I174" s="41"/>
      <c r="J174" s="129"/>
      <c r="K174" s="130"/>
      <c r="L174" s="13"/>
    </row>
    <row r="175" spans="1:12" ht="15" customHeight="1">
      <c r="A175" s="50"/>
      <c r="B175" s="33" t="s">
        <v>279</v>
      </c>
      <c r="C175" s="38"/>
      <c r="D175" s="128"/>
      <c r="E175" s="128"/>
      <c r="F175" s="128"/>
      <c r="G175" s="128"/>
      <c r="H175" s="128"/>
      <c r="I175" s="41"/>
      <c r="J175" s="129"/>
      <c r="K175" s="130"/>
      <c r="L175" s="13"/>
    </row>
    <row r="176" spans="1:12" ht="15" customHeight="1">
      <c r="A176" s="50"/>
      <c r="B176" s="33" t="s">
        <v>280</v>
      </c>
      <c r="C176" s="38"/>
      <c r="D176" s="128"/>
      <c r="E176" s="128" t="s">
        <v>281</v>
      </c>
      <c r="F176" s="128"/>
      <c r="G176" s="128"/>
      <c r="H176" s="128"/>
      <c r="I176" s="41"/>
      <c r="J176" s="129">
        <f>1*38.5*0.5*7.17</f>
        <v>138.02250000000001</v>
      </c>
      <c r="K176" s="130" t="s">
        <v>93</v>
      </c>
      <c r="L176" s="13"/>
    </row>
    <row r="177" spans="1:12" ht="15" customHeight="1">
      <c r="A177" s="50"/>
      <c r="B177" s="35" t="s">
        <v>75</v>
      </c>
      <c r="C177" s="38"/>
      <c r="D177" s="128"/>
      <c r="E177" s="128" t="s">
        <v>282</v>
      </c>
      <c r="F177" s="128"/>
      <c r="G177" s="128"/>
      <c r="H177" s="128"/>
      <c r="I177" s="41"/>
      <c r="J177" s="129">
        <f>1*8.5*0.5*7.17</f>
        <v>30.4725</v>
      </c>
      <c r="K177" s="130" t="s">
        <v>93</v>
      </c>
      <c r="L177" s="13"/>
    </row>
    <row r="178" spans="1:12" ht="15" customHeight="1">
      <c r="A178" s="50"/>
      <c r="B178" s="33" t="s">
        <v>306</v>
      </c>
      <c r="C178" s="38"/>
      <c r="D178" s="128"/>
      <c r="E178" s="128" t="s">
        <v>283</v>
      </c>
      <c r="F178" s="128"/>
      <c r="G178" s="128"/>
      <c r="H178" s="128"/>
      <c r="I178" s="41"/>
      <c r="J178" s="129">
        <f>2*6*0.5*7.17</f>
        <v>43.019999999999996</v>
      </c>
      <c r="K178" s="130" t="s">
        <v>93</v>
      </c>
      <c r="L178" s="13"/>
    </row>
    <row r="179" spans="1:12" ht="15" customHeight="1">
      <c r="A179" s="50"/>
      <c r="B179" s="33" t="s">
        <v>307</v>
      </c>
      <c r="C179" s="38"/>
      <c r="D179" s="128"/>
      <c r="E179" s="128" t="s">
        <v>284</v>
      </c>
      <c r="F179" s="128"/>
      <c r="G179" s="128"/>
      <c r="H179" s="128"/>
      <c r="I179" s="41"/>
      <c r="J179" s="129">
        <f>1*8*0.5*7.17</f>
        <v>28.68</v>
      </c>
      <c r="K179" s="130" t="s">
        <v>93</v>
      </c>
      <c r="L179" s="13"/>
    </row>
    <row r="180" spans="1:12" ht="15" customHeight="1">
      <c r="A180" s="50"/>
      <c r="B180" s="33" t="s">
        <v>308</v>
      </c>
      <c r="C180" s="38"/>
      <c r="D180" s="128"/>
      <c r="E180" s="128" t="s">
        <v>285</v>
      </c>
      <c r="F180" s="128"/>
      <c r="G180" s="128"/>
      <c r="H180" s="128"/>
      <c r="I180" s="41"/>
      <c r="J180" s="129">
        <f>1*46.5*0.5*7.17</f>
        <v>166.70249999999999</v>
      </c>
      <c r="K180" s="130" t="s">
        <v>93</v>
      </c>
      <c r="L180" s="13"/>
    </row>
    <row r="181" spans="1:12" ht="15" customHeight="1">
      <c r="A181" s="50"/>
      <c r="B181" s="33" t="s">
        <v>309</v>
      </c>
      <c r="C181" s="38"/>
      <c r="D181" s="128"/>
      <c r="E181" s="128" t="s">
        <v>286</v>
      </c>
      <c r="F181" s="128"/>
      <c r="G181" s="128"/>
      <c r="H181" s="128"/>
      <c r="I181" s="41"/>
      <c r="J181" s="129">
        <f>1*16*0.5*7.17</f>
        <v>57.36</v>
      </c>
      <c r="K181" s="130" t="s">
        <v>93</v>
      </c>
      <c r="L181" s="13"/>
    </row>
    <row r="182" spans="1:12" ht="15" customHeight="1">
      <c r="A182" s="50"/>
      <c r="B182" s="33" t="s">
        <v>310</v>
      </c>
      <c r="C182" s="38"/>
      <c r="D182" s="128"/>
      <c r="E182" s="128" t="s">
        <v>287</v>
      </c>
      <c r="F182" s="128"/>
      <c r="G182" s="128"/>
      <c r="H182" s="128"/>
      <c r="I182" s="41"/>
      <c r="J182" s="129">
        <f>2*4*0.5*7.17</f>
        <v>28.68</v>
      </c>
      <c r="K182" s="130" t="s">
        <v>93</v>
      </c>
      <c r="L182" s="13"/>
    </row>
    <row r="183" spans="1:12" ht="15" customHeight="1">
      <c r="A183" s="50"/>
      <c r="B183" s="33" t="s">
        <v>311</v>
      </c>
      <c r="C183" s="38"/>
      <c r="D183" s="128"/>
      <c r="E183" s="128" t="s">
        <v>288</v>
      </c>
      <c r="F183" s="128"/>
      <c r="G183" s="128"/>
      <c r="H183" s="128"/>
      <c r="I183" s="41"/>
      <c r="J183" s="129">
        <f>1*15*0.5*7.17</f>
        <v>53.774999999999999</v>
      </c>
      <c r="K183" s="130" t="s">
        <v>93</v>
      </c>
      <c r="L183" s="13"/>
    </row>
    <row r="184" spans="1:12" ht="15" customHeight="1">
      <c r="A184" s="50"/>
      <c r="B184" s="33" t="s">
        <v>209</v>
      </c>
      <c r="C184" s="38"/>
      <c r="D184" s="128"/>
      <c r="E184" s="128" t="s">
        <v>289</v>
      </c>
      <c r="F184" s="128"/>
      <c r="G184" s="128"/>
      <c r="H184" s="128"/>
      <c r="I184" s="41"/>
      <c r="J184" s="129">
        <f>1*6.5*0.5*7.17</f>
        <v>23.302499999999998</v>
      </c>
      <c r="K184" s="130" t="s">
        <v>93</v>
      </c>
      <c r="L184" s="13"/>
    </row>
    <row r="185" spans="1:12" ht="15" customHeight="1">
      <c r="A185" s="50"/>
      <c r="B185" s="33" t="s">
        <v>312</v>
      </c>
      <c r="C185" s="38"/>
      <c r="D185" s="128"/>
      <c r="E185" s="128" t="s">
        <v>288</v>
      </c>
      <c r="F185" s="128"/>
      <c r="G185" s="128"/>
      <c r="H185" s="128"/>
      <c r="I185" s="41"/>
      <c r="J185" s="129">
        <f>1*15*0.5*7.17</f>
        <v>53.774999999999999</v>
      </c>
      <c r="K185" s="130" t="s">
        <v>93</v>
      </c>
      <c r="L185" s="13"/>
    </row>
    <row r="186" spans="1:12" ht="15" customHeight="1">
      <c r="A186" s="50"/>
      <c r="B186" s="33" t="s">
        <v>313</v>
      </c>
      <c r="C186" s="38"/>
      <c r="D186" s="128"/>
      <c r="E186" s="128" t="s">
        <v>290</v>
      </c>
      <c r="F186" s="128"/>
      <c r="G186" s="128"/>
      <c r="H186" s="128"/>
      <c r="I186" s="41"/>
      <c r="J186" s="129">
        <f>1*17.5*0.5*7.17</f>
        <v>62.737499999999997</v>
      </c>
      <c r="K186" s="130" t="s">
        <v>93</v>
      </c>
      <c r="L186" s="13"/>
    </row>
    <row r="187" spans="1:12" ht="15" customHeight="1">
      <c r="A187" s="50"/>
      <c r="B187" s="33" t="s">
        <v>314</v>
      </c>
      <c r="C187" s="38"/>
      <c r="D187" s="128"/>
      <c r="E187" s="128" t="s">
        <v>286</v>
      </c>
      <c r="F187" s="128"/>
      <c r="G187" s="128"/>
      <c r="H187" s="128"/>
      <c r="I187" s="41"/>
      <c r="J187" s="129">
        <f>1*16*0.5*7.17</f>
        <v>57.36</v>
      </c>
      <c r="K187" s="130" t="s">
        <v>93</v>
      </c>
      <c r="L187" s="13"/>
    </row>
    <row r="188" spans="1:12" ht="15" customHeight="1">
      <c r="A188" s="50"/>
      <c r="B188" s="33" t="s">
        <v>291</v>
      </c>
      <c r="C188" s="38"/>
      <c r="D188" s="128"/>
      <c r="E188" s="128"/>
      <c r="F188" s="128"/>
      <c r="G188" s="128"/>
      <c r="H188" s="128"/>
      <c r="I188" s="41"/>
      <c r="J188" s="129"/>
      <c r="K188" s="130"/>
      <c r="L188" s="13"/>
    </row>
    <row r="189" spans="1:12" ht="15" customHeight="1">
      <c r="A189" s="50"/>
      <c r="B189" s="33" t="s">
        <v>315</v>
      </c>
      <c r="C189" s="38"/>
      <c r="D189" s="128"/>
      <c r="E189" s="128" t="s">
        <v>292</v>
      </c>
      <c r="F189" s="128"/>
      <c r="G189" s="128"/>
      <c r="H189" s="128"/>
      <c r="I189" s="41"/>
      <c r="J189" s="129">
        <f>1*16.5*0.5*7.17</f>
        <v>59.152499999999996</v>
      </c>
      <c r="K189" s="130" t="s">
        <v>93</v>
      </c>
      <c r="L189" s="13"/>
    </row>
    <row r="190" spans="1:12" ht="15" customHeight="1">
      <c r="A190" s="50"/>
      <c r="B190" s="33" t="s">
        <v>75</v>
      </c>
      <c r="C190" s="38"/>
      <c r="D190" s="128"/>
      <c r="E190" s="128" t="s">
        <v>293</v>
      </c>
      <c r="F190" s="128"/>
      <c r="G190" s="128"/>
      <c r="H190" s="128"/>
      <c r="I190" s="41"/>
      <c r="J190" s="129">
        <f>1*19.5*0.5*7.17</f>
        <v>69.907499999999999</v>
      </c>
      <c r="K190" s="130" t="s">
        <v>93</v>
      </c>
      <c r="L190" s="13"/>
    </row>
    <row r="191" spans="1:12" ht="15" customHeight="1">
      <c r="A191" s="50"/>
      <c r="B191" s="33" t="s">
        <v>316</v>
      </c>
      <c r="C191" s="38"/>
      <c r="D191" s="128"/>
      <c r="E191" s="128" t="s">
        <v>294</v>
      </c>
      <c r="F191" s="128"/>
      <c r="G191" s="128"/>
      <c r="H191" s="128"/>
      <c r="I191" s="41"/>
      <c r="J191" s="129">
        <f>4*16*0.5*7.17</f>
        <v>229.44</v>
      </c>
      <c r="K191" s="130" t="s">
        <v>93</v>
      </c>
      <c r="L191" s="13"/>
    </row>
    <row r="192" spans="1:12" ht="15" customHeight="1">
      <c r="A192" s="50"/>
      <c r="B192" s="33" t="s">
        <v>317</v>
      </c>
      <c r="C192" s="38"/>
      <c r="D192" s="128"/>
      <c r="E192" s="128" t="s">
        <v>295</v>
      </c>
      <c r="F192" s="128"/>
      <c r="G192" s="128"/>
      <c r="H192" s="128"/>
      <c r="I192" s="41"/>
      <c r="J192" s="129">
        <f>1*18*0.5*7.17</f>
        <v>64.53</v>
      </c>
      <c r="K192" s="130" t="s">
        <v>93</v>
      </c>
      <c r="L192" s="13"/>
    </row>
    <row r="193" spans="1:12" ht="15" customHeight="1">
      <c r="A193" s="50"/>
      <c r="B193" s="33" t="s">
        <v>213</v>
      </c>
      <c r="C193" s="38"/>
      <c r="D193" s="128"/>
      <c r="E193" s="128" t="s">
        <v>296</v>
      </c>
      <c r="F193" s="128"/>
      <c r="G193" s="128"/>
      <c r="H193" s="128"/>
      <c r="I193" s="41"/>
      <c r="J193" s="129">
        <f>1*10*0.5*7.17</f>
        <v>35.85</v>
      </c>
      <c r="K193" s="130" t="s">
        <v>93</v>
      </c>
      <c r="L193" s="13"/>
    </row>
    <row r="194" spans="1:12" ht="15" customHeight="1">
      <c r="A194" s="50"/>
      <c r="B194" s="33" t="s">
        <v>312</v>
      </c>
      <c r="C194" s="38"/>
      <c r="D194" s="128"/>
      <c r="E194" s="128" t="s">
        <v>297</v>
      </c>
      <c r="F194" s="128"/>
      <c r="G194" s="128"/>
      <c r="H194" s="128"/>
      <c r="I194" s="41"/>
      <c r="J194" s="129">
        <f>1*12.5*0.5*7.17</f>
        <v>44.8125</v>
      </c>
      <c r="K194" s="130" t="s">
        <v>93</v>
      </c>
      <c r="L194" s="13"/>
    </row>
    <row r="195" spans="1:12" ht="15" customHeight="1">
      <c r="A195" s="50"/>
      <c r="B195" s="33" t="s">
        <v>314</v>
      </c>
      <c r="C195" s="38"/>
      <c r="D195" s="128"/>
      <c r="E195" s="128" t="s">
        <v>298</v>
      </c>
      <c r="F195" s="128"/>
      <c r="G195" s="128"/>
      <c r="H195" s="128"/>
      <c r="I195" s="41"/>
      <c r="J195" s="129">
        <f>1*18.5*0.5*7.17</f>
        <v>66.322500000000005</v>
      </c>
      <c r="K195" s="130" t="s">
        <v>93</v>
      </c>
      <c r="L195" s="13"/>
    </row>
    <row r="196" spans="1:12" ht="15" customHeight="1">
      <c r="A196" s="50"/>
      <c r="B196" s="33" t="s">
        <v>318</v>
      </c>
      <c r="C196" s="38"/>
      <c r="D196" s="128"/>
      <c r="E196" s="128" t="s">
        <v>299</v>
      </c>
      <c r="F196" s="128"/>
      <c r="G196" s="128"/>
      <c r="H196" s="128"/>
      <c r="I196" s="41"/>
      <c r="J196" s="129">
        <f>1*54.5*0.5*7.17</f>
        <v>195.38249999999999</v>
      </c>
      <c r="K196" s="130" t="s">
        <v>93</v>
      </c>
      <c r="L196" s="13"/>
    </row>
    <row r="197" spans="1:12" ht="15" customHeight="1">
      <c r="A197" s="50"/>
      <c r="B197" s="33" t="s">
        <v>319</v>
      </c>
      <c r="C197" s="38"/>
      <c r="D197" s="128"/>
      <c r="E197" s="128" t="s">
        <v>300</v>
      </c>
      <c r="F197" s="128"/>
      <c r="G197" s="128"/>
      <c r="H197" s="128"/>
      <c r="I197" s="41"/>
      <c r="J197" s="129">
        <f>18*1*0.5*8</f>
        <v>72</v>
      </c>
      <c r="K197" s="130" t="s">
        <v>93</v>
      </c>
      <c r="L197" s="13"/>
    </row>
    <row r="198" spans="1:12" ht="15" customHeight="1">
      <c r="A198" s="50"/>
      <c r="B198" s="35"/>
      <c r="C198" s="38"/>
      <c r="D198" s="128"/>
      <c r="E198" s="128"/>
      <c r="F198" s="128"/>
      <c r="G198" s="128"/>
      <c r="H198" s="128"/>
      <c r="I198" s="41"/>
      <c r="J198" s="131">
        <f>SUM(J176:J197)</f>
        <v>1581.2849999999999</v>
      </c>
      <c r="K198" s="132" t="s">
        <v>93</v>
      </c>
      <c r="L198" s="13"/>
    </row>
    <row r="199" spans="1:12" ht="15" customHeight="1">
      <c r="A199" s="50"/>
      <c r="B199" s="35" t="s">
        <v>68</v>
      </c>
      <c r="C199" s="38"/>
      <c r="D199" s="128"/>
      <c r="E199" s="128"/>
      <c r="F199" s="128"/>
      <c r="G199" s="128"/>
      <c r="H199" s="128"/>
      <c r="I199" s="41"/>
      <c r="J199" s="129"/>
      <c r="K199" s="130"/>
      <c r="L199" s="13"/>
    </row>
    <row r="200" spans="1:12" ht="15" customHeight="1">
      <c r="A200" s="50"/>
      <c r="B200" s="33" t="s">
        <v>320</v>
      </c>
      <c r="C200" s="38"/>
      <c r="D200" s="128"/>
      <c r="E200" s="128" t="s">
        <v>301</v>
      </c>
      <c r="F200" s="128"/>
      <c r="G200" s="128"/>
      <c r="H200" s="128"/>
      <c r="I200" s="41"/>
      <c r="J200" s="129">
        <f>3*5*0.5*7.17</f>
        <v>53.774999999999999</v>
      </c>
      <c r="K200" s="130" t="s">
        <v>93</v>
      </c>
      <c r="L200" s="13"/>
    </row>
    <row r="201" spans="1:12" ht="15" customHeight="1">
      <c r="A201" s="50"/>
      <c r="B201" s="33" t="s">
        <v>321</v>
      </c>
      <c r="C201" s="38"/>
      <c r="D201" s="128"/>
      <c r="E201" s="128" t="s">
        <v>302</v>
      </c>
      <c r="F201" s="128"/>
      <c r="G201" s="128"/>
      <c r="H201" s="128"/>
      <c r="I201" s="41"/>
      <c r="J201" s="129">
        <f>3*3.5*0.5*7.17</f>
        <v>37.642499999999998</v>
      </c>
      <c r="K201" s="130" t="s">
        <v>93</v>
      </c>
      <c r="L201" s="13"/>
    </row>
    <row r="202" spans="1:12" ht="15" customHeight="1">
      <c r="A202" s="50"/>
      <c r="B202" s="33" t="s">
        <v>322</v>
      </c>
      <c r="C202" s="38"/>
      <c r="D202" s="128"/>
      <c r="E202" s="128" t="s">
        <v>303</v>
      </c>
      <c r="F202" s="128"/>
      <c r="G202" s="128"/>
      <c r="H202" s="128"/>
      <c r="I202" s="41"/>
      <c r="J202" s="129">
        <f>3*3*0.5*7.17</f>
        <v>32.265000000000001</v>
      </c>
      <c r="K202" s="130" t="s">
        <v>93</v>
      </c>
      <c r="L202" s="13"/>
    </row>
    <row r="203" spans="1:12" ht="15" customHeight="1">
      <c r="A203" s="50"/>
      <c r="B203" s="33" t="s">
        <v>323</v>
      </c>
      <c r="C203" s="38"/>
      <c r="D203" s="128"/>
      <c r="E203" s="128" t="s">
        <v>304</v>
      </c>
      <c r="F203" s="128"/>
      <c r="G203" s="128"/>
      <c r="H203" s="128"/>
      <c r="I203" s="41"/>
      <c r="J203" s="129">
        <f>5*2.5*0.5*7.17</f>
        <v>44.8125</v>
      </c>
      <c r="K203" s="130" t="s">
        <v>93</v>
      </c>
      <c r="L203" s="13"/>
    </row>
    <row r="204" spans="1:12" ht="15" customHeight="1">
      <c r="A204" s="50"/>
      <c r="B204" s="33" t="s">
        <v>324</v>
      </c>
      <c r="C204" s="38"/>
      <c r="D204" s="128"/>
      <c r="E204" s="128" t="s">
        <v>305</v>
      </c>
      <c r="F204" s="128"/>
      <c r="G204" s="128"/>
      <c r="H204" s="128"/>
      <c r="I204" s="41"/>
      <c r="J204" s="129">
        <f>2*4.5*0.5*7.17</f>
        <v>32.265000000000001</v>
      </c>
      <c r="K204" s="130" t="s">
        <v>93</v>
      </c>
      <c r="L204" s="13"/>
    </row>
    <row r="205" spans="1:12" ht="15" customHeight="1">
      <c r="A205" s="50"/>
      <c r="B205" s="33" t="s">
        <v>325</v>
      </c>
      <c r="C205" s="38"/>
      <c r="D205" s="128"/>
      <c r="E205" s="128" t="s">
        <v>328</v>
      </c>
      <c r="F205" s="128"/>
      <c r="G205" s="128"/>
      <c r="H205" s="128"/>
      <c r="I205" s="41"/>
      <c r="J205" s="129">
        <f>8*6*0.5*4</f>
        <v>96</v>
      </c>
      <c r="K205" s="130" t="s">
        <v>93</v>
      </c>
      <c r="L205" s="13"/>
    </row>
    <row r="206" spans="1:12" ht="15" customHeight="1">
      <c r="A206" s="50"/>
      <c r="B206" s="33" t="s">
        <v>326</v>
      </c>
      <c r="C206" s="38"/>
      <c r="D206" s="128"/>
      <c r="E206" s="128" t="s">
        <v>329</v>
      </c>
      <c r="F206" s="128"/>
      <c r="G206" s="128"/>
      <c r="H206" s="128"/>
      <c r="I206" s="41"/>
      <c r="J206" s="129">
        <f>2*3.5*0.5*4</f>
        <v>14</v>
      </c>
      <c r="K206" s="130" t="s">
        <v>93</v>
      </c>
      <c r="L206" s="13"/>
    </row>
    <row r="207" spans="1:12" ht="15" customHeight="1">
      <c r="A207" s="50"/>
      <c r="B207" s="33" t="s">
        <v>327</v>
      </c>
      <c r="C207" s="38"/>
      <c r="D207" s="128"/>
      <c r="E207" s="128" t="s">
        <v>330</v>
      </c>
      <c r="F207" s="128"/>
      <c r="G207" s="128"/>
      <c r="H207" s="128"/>
      <c r="I207" s="41"/>
      <c r="J207" s="129">
        <f>5*2*0.5*1.5</f>
        <v>7.5</v>
      </c>
      <c r="K207" s="130" t="s">
        <v>93</v>
      </c>
      <c r="L207" s="13"/>
    </row>
    <row r="208" spans="1:12" ht="15" customHeight="1">
      <c r="A208" s="50"/>
      <c r="B208" s="33" t="s">
        <v>235</v>
      </c>
      <c r="C208" s="38"/>
      <c r="D208" s="128"/>
      <c r="E208" s="128" t="s">
        <v>331</v>
      </c>
      <c r="F208" s="128"/>
      <c r="G208" s="128"/>
      <c r="H208" s="128"/>
      <c r="I208" s="41"/>
      <c r="J208" s="129">
        <f>24*2*0.5*7.17</f>
        <v>172.07999999999998</v>
      </c>
      <c r="K208" s="130" t="s">
        <v>93</v>
      </c>
      <c r="L208" s="13"/>
    </row>
    <row r="209" spans="1:12" ht="15" customHeight="1">
      <c r="A209" s="50"/>
      <c r="B209" s="35"/>
      <c r="C209" s="38"/>
      <c r="D209" s="128"/>
      <c r="E209" s="128"/>
      <c r="F209" s="128"/>
      <c r="G209" s="128"/>
      <c r="H209" s="128"/>
      <c r="I209" s="41"/>
      <c r="J209" s="129">
        <f>SUM(J200:J208)</f>
        <v>490.34</v>
      </c>
      <c r="K209" s="130" t="s">
        <v>93</v>
      </c>
      <c r="L209" s="13"/>
    </row>
    <row r="210" spans="1:12" ht="15" customHeight="1">
      <c r="A210" s="50"/>
      <c r="B210" s="35"/>
      <c r="C210" s="38"/>
      <c r="D210" s="128"/>
      <c r="E210" s="128"/>
      <c r="F210" s="128"/>
      <c r="G210" s="128"/>
      <c r="H210" s="128"/>
      <c r="I210" s="41"/>
      <c r="J210" s="129"/>
      <c r="K210" s="130"/>
      <c r="L210" s="13"/>
    </row>
    <row r="211" spans="1:12" ht="15" customHeight="1">
      <c r="A211" s="50"/>
      <c r="B211" s="35"/>
      <c r="C211" s="38"/>
      <c r="D211" s="128"/>
      <c r="E211" s="128"/>
      <c r="F211" s="128"/>
      <c r="G211" s="128"/>
      <c r="H211" s="128"/>
      <c r="I211" s="41"/>
      <c r="J211" s="131">
        <f>J198-J209</f>
        <v>1090.9449999999999</v>
      </c>
      <c r="K211" s="132" t="s">
        <v>93</v>
      </c>
      <c r="L211" s="13"/>
    </row>
    <row r="212" spans="1:12" ht="15" customHeight="1">
      <c r="A212" s="50"/>
      <c r="B212" s="35"/>
      <c r="C212" s="38"/>
      <c r="D212" s="128"/>
      <c r="E212" s="128"/>
      <c r="F212" s="128"/>
      <c r="G212" s="128"/>
      <c r="H212" s="128"/>
      <c r="I212" s="41"/>
      <c r="J212" s="129"/>
      <c r="K212" s="130"/>
      <c r="L212" s="13"/>
    </row>
    <row r="213" spans="1:12" ht="15" customHeight="1">
      <c r="A213" s="50">
        <v>4</v>
      </c>
      <c r="B213" s="35" t="s">
        <v>332</v>
      </c>
      <c r="C213" s="38"/>
      <c r="D213" s="128"/>
      <c r="E213" s="128"/>
      <c r="F213" s="128"/>
      <c r="G213" s="128"/>
      <c r="H213" s="128"/>
      <c r="I213" s="41"/>
      <c r="J213" s="129"/>
      <c r="K213" s="130"/>
      <c r="L213" s="13"/>
    </row>
    <row r="214" spans="1:12" ht="15" customHeight="1">
      <c r="A214" s="50"/>
      <c r="B214" s="35" t="s">
        <v>333</v>
      </c>
      <c r="C214" s="38"/>
      <c r="D214" s="128"/>
      <c r="E214" s="128"/>
      <c r="F214" s="128"/>
      <c r="G214" s="128"/>
      <c r="H214" s="128"/>
      <c r="I214" s="41"/>
      <c r="J214" s="129"/>
      <c r="K214" s="130"/>
      <c r="L214" s="13"/>
    </row>
    <row r="215" spans="1:12" ht="15" customHeight="1">
      <c r="A215" s="50"/>
      <c r="B215" s="33" t="s">
        <v>197</v>
      </c>
      <c r="C215" s="38"/>
      <c r="D215" s="128"/>
      <c r="E215" s="128" t="s">
        <v>337</v>
      </c>
      <c r="F215" s="128"/>
      <c r="G215" s="128"/>
      <c r="H215" s="128"/>
      <c r="I215" s="41"/>
      <c r="J215" s="129">
        <f>2*2*(12+16)*10</f>
        <v>1120</v>
      </c>
      <c r="K215" s="130" t="s">
        <v>8</v>
      </c>
      <c r="L215" s="13"/>
    </row>
    <row r="216" spans="1:12" ht="15" customHeight="1">
      <c r="A216" s="50"/>
      <c r="B216" s="33" t="s">
        <v>334</v>
      </c>
      <c r="C216" s="38"/>
      <c r="D216" s="128"/>
      <c r="E216" s="128" t="s">
        <v>338</v>
      </c>
      <c r="F216" s="128"/>
      <c r="G216" s="128"/>
      <c r="H216" s="128"/>
      <c r="I216" s="41"/>
      <c r="J216" s="129">
        <f>2*2*(6+8.5)*3.5</f>
        <v>203</v>
      </c>
      <c r="K216" s="130" t="s">
        <v>8</v>
      </c>
      <c r="L216" s="13"/>
    </row>
    <row r="217" spans="1:12" ht="15" customHeight="1">
      <c r="A217" s="50"/>
      <c r="B217" s="33" t="s">
        <v>210</v>
      </c>
      <c r="C217" s="38"/>
      <c r="D217" s="128"/>
      <c r="E217" s="128" t="s">
        <v>339</v>
      </c>
      <c r="F217" s="128"/>
      <c r="G217" s="128"/>
      <c r="H217" s="128"/>
      <c r="I217" s="41"/>
      <c r="J217" s="129">
        <f>2*2*(6+7)*10</f>
        <v>520</v>
      </c>
      <c r="K217" s="130" t="s">
        <v>8</v>
      </c>
      <c r="L217" s="13"/>
    </row>
    <row r="218" spans="1:12" ht="15" customHeight="1">
      <c r="A218" s="50"/>
      <c r="B218" s="33" t="s">
        <v>335</v>
      </c>
      <c r="C218" s="38"/>
      <c r="D218" s="128"/>
      <c r="E218" s="128" t="s">
        <v>340</v>
      </c>
      <c r="F218" s="128"/>
      <c r="G218" s="128"/>
      <c r="H218" s="128"/>
      <c r="I218" s="41"/>
      <c r="J218" s="129">
        <f>1*2*(8+8)*10</f>
        <v>320</v>
      </c>
      <c r="K218" s="130" t="s">
        <v>8</v>
      </c>
      <c r="L218" s="13"/>
    </row>
    <row r="219" spans="1:12" ht="15" customHeight="1">
      <c r="A219" s="50"/>
      <c r="B219" s="33" t="s">
        <v>209</v>
      </c>
      <c r="C219" s="38"/>
      <c r="D219" s="128"/>
      <c r="E219" s="128" t="s">
        <v>341</v>
      </c>
      <c r="F219" s="128"/>
      <c r="G219" s="128"/>
      <c r="H219" s="128"/>
      <c r="I219" s="41"/>
      <c r="J219" s="129">
        <f>1*2*(8+4)*5</f>
        <v>120</v>
      </c>
      <c r="K219" s="130" t="s">
        <v>8</v>
      </c>
      <c r="L219" s="13"/>
    </row>
    <row r="220" spans="1:12" ht="15" customHeight="1">
      <c r="A220" s="50"/>
      <c r="B220" s="33" t="s">
        <v>211</v>
      </c>
      <c r="C220" s="38"/>
      <c r="D220" s="128"/>
      <c r="E220" s="128" t="s">
        <v>342</v>
      </c>
      <c r="F220" s="128"/>
      <c r="G220" s="128"/>
      <c r="H220" s="128"/>
      <c r="I220" s="41"/>
      <c r="J220" s="129">
        <f>1*2*(18.5+18)*10</f>
        <v>730</v>
      </c>
      <c r="K220" s="130" t="s">
        <v>8</v>
      </c>
      <c r="L220" s="13"/>
    </row>
    <row r="221" spans="1:12" ht="15" customHeight="1">
      <c r="A221" s="50"/>
      <c r="B221" s="33" t="s">
        <v>213</v>
      </c>
      <c r="C221" s="38"/>
      <c r="D221" s="128"/>
      <c r="E221" s="128" t="s">
        <v>343</v>
      </c>
      <c r="F221" s="128"/>
      <c r="G221" s="128"/>
      <c r="H221" s="128"/>
      <c r="I221" s="41"/>
      <c r="J221" s="129">
        <f>1*2*(16+10)*5</f>
        <v>260</v>
      </c>
      <c r="K221" s="130" t="s">
        <v>8</v>
      </c>
      <c r="L221" s="13"/>
    </row>
    <row r="222" spans="1:12" ht="15" customHeight="1">
      <c r="A222" s="50"/>
      <c r="B222" s="33" t="s">
        <v>336</v>
      </c>
      <c r="C222" s="38"/>
      <c r="D222" s="128"/>
      <c r="E222" s="128" t="s">
        <v>344</v>
      </c>
      <c r="F222" s="128"/>
      <c r="G222" s="128"/>
      <c r="H222" s="128"/>
      <c r="I222" s="41"/>
      <c r="J222" s="129">
        <f>1*2*(16+12)*10</f>
        <v>560</v>
      </c>
      <c r="K222" s="130" t="s">
        <v>8</v>
      </c>
      <c r="L222" s="13"/>
    </row>
    <row r="223" spans="1:12" ht="15" customHeight="1">
      <c r="A223" s="50"/>
      <c r="B223" s="33" t="s">
        <v>216</v>
      </c>
      <c r="C223" s="38"/>
      <c r="D223" s="128"/>
      <c r="E223" s="128" t="s">
        <v>345</v>
      </c>
      <c r="F223" s="128"/>
      <c r="G223" s="128"/>
      <c r="H223" s="128"/>
      <c r="I223" s="41"/>
      <c r="J223" s="129">
        <f>1*2*(16+18)*10</f>
        <v>680</v>
      </c>
      <c r="K223" s="130" t="s">
        <v>8</v>
      </c>
      <c r="L223" s="13"/>
    </row>
    <row r="224" spans="1:12" ht="15" customHeight="1">
      <c r="A224" s="50"/>
      <c r="B224" s="33" t="s">
        <v>215</v>
      </c>
      <c r="C224" s="38"/>
      <c r="D224" s="128"/>
      <c r="E224" s="128" t="s">
        <v>346</v>
      </c>
      <c r="F224" s="128"/>
      <c r="G224" s="128"/>
      <c r="H224" s="128"/>
      <c r="I224" s="41"/>
      <c r="J224" s="129">
        <f>1*2*(15+12)*10</f>
        <v>540</v>
      </c>
      <c r="K224" s="130" t="s">
        <v>8</v>
      </c>
      <c r="L224" s="13"/>
    </row>
    <row r="225" spans="1:12" ht="15" customHeight="1">
      <c r="A225" s="50"/>
      <c r="B225" s="33" t="s">
        <v>209</v>
      </c>
      <c r="C225" s="38"/>
      <c r="D225" s="128"/>
      <c r="E225" s="128" t="s">
        <v>347</v>
      </c>
      <c r="F225" s="128"/>
      <c r="G225" s="128"/>
      <c r="H225" s="128"/>
      <c r="I225" s="41"/>
      <c r="J225" s="129">
        <f>1*2*(6.5+6)*3.5</f>
        <v>87.5</v>
      </c>
      <c r="K225" s="130" t="s">
        <v>8</v>
      </c>
      <c r="L225" s="13"/>
    </row>
    <row r="226" spans="1:12" ht="15" customHeight="1">
      <c r="A226" s="50"/>
      <c r="B226" s="35"/>
      <c r="C226" s="38"/>
      <c r="D226" s="128"/>
      <c r="E226" s="128"/>
      <c r="F226" s="128"/>
      <c r="G226" s="128"/>
      <c r="H226" s="128"/>
      <c r="I226" s="41"/>
      <c r="J226" s="129">
        <f>SUM(J215:J225)</f>
        <v>5140.5</v>
      </c>
      <c r="K226" s="130" t="s">
        <v>8</v>
      </c>
      <c r="L226" s="13"/>
    </row>
    <row r="227" spans="1:12" ht="15" customHeight="1">
      <c r="A227" s="50"/>
      <c r="B227" s="35"/>
      <c r="C227" s="38"/>
      <c r="D227" s="128"/>
      <c r="E227" s="128"/>
      <c r="F227" s="128"/>
      <c r="G227" s="128"/>
      <c r="H227" s="128"/>
      <c r="I227" s="41"/>
      <c r="J227" s="129"/>
      <c r="K227" s="130"/>
      <c r="L227" s="13"/>
    </row>
    <row r="228" spans="1:12" ht="15" customHeight="1">
      <c r="A228" s="50"/>
      <c r="B228" s="35" t="s">
        <v>68</v>
      </c>
      <c r="C228" s="38"/>
      <c r="D228" s="128"/>
      <c r="E228" s="128"/>
      <c r="F228" s="128"/>
      <c r="G228" s="128"/>
      <c r="H228" s="128"/>
      <c r="I228" s="41"/>
      <c r="J228" s="129"/>
      <c r="K228" s="130"/>
      <c r="L228" s="13"/>
    </row>
    <row r="229" spans="1:12" ht="15" customHeight="1">
      <c r="A229" s="50"/>
      <c r="B229" s="35" t="s">
        <v>320</v>
      </c>
      <c r="C229" s="38"/>
      <c r="D229" s="128"/>
      <c r="E229" s="128" t="s">
        <v>348</v>
      </c>
      <c r="F229" s="128"/>
      <c r="G229" s="128"/>
      <c r="H229" s="128"/>
      <c r="I229" s="41"/>
      <c r="J229" s="129">
        <f>3*1*5*7</f>
        <v>105</v>
      </c>
      <c r="K229" s="130" t="s">
        <v>8</v>
      </c>
      <c r="L229" s="13"/>
    </row>
    <row r="230" spans="1:12" ht="15" customHeight="1">
      <c r="A230" s="50"/>
      <c r="B230" s="35" t="s">
        <v>321</v>
      </c>
      <c r="C230" s="38"/>
      <c r="D230" s="128"/>
      <c r="E230" s="128" t="s">
        <v>349</v>
      </c>
      <c r="F230" s="128"/>
      <c r="G230" s="128"/>
      <c r="H230" s="128"/>
      <c r="I230" s="41"/>
      <c r="J230" s="129">
        <f>3*2*3.5*7</f>
        <v>147</v>
      </c>
      <c r="K230" s="130" t="s">
        <v>8</v>
      </c>
      <c r="L230" s="13"/>
    </row>
    <row r="231" spans="1:12" ht="15" customHeight="1">
      <c r="A231" s="50"/>
      <c r="B231" s="35" t="s">
        <v>322</v>
      </c>
      <c r="C231" s="38"/>
      <c r="D231" s="128"/>
      <c r="E231" s="128" t="s">
        <v>350</v>
      </c>
      <c r="F231" s="128"/>
      <c r="G231" s="128"/>
      <c r="H231" s="128"/>
      <c r="I231" s="41"/>
      <c r="J231" s="129">
        <f>3*2*3*7</f>
        <v>126</v>
      </c>
      <c r="K231" s="130" t="s">
        <v>8</v>
      </c>
      <c r="L231" s="13"/>
    </row>
    <row r="232" spans="1:12" ht="15" customHeight="1">
      <c r="A232" s="50"/>
      <c r="B232" s="35" t="s">
        <v>323</v>
      </c>
      <c r="C232" s="38"/>
      <c r="D232" s="128"/>
      <c r="E232" s="128" t="s">
        <v>351</v>
      </c>
      <c r="F232" s="128"/>
      <c r="G232" s="128"/>
      <c r="H232" s="128"/>
      <c r="I232" s="41"/>
      <c r="J232" s="129">
        <f>5*1*2.5*7</f>
        <v>87.5</v>
      </c>
      <c r="K232" s="130" t="s">
        <v>8</v>
      </c>
      <c r="L232" s="13"/>
    </row>
    <row r="233" spans="1:12" ht="15" customHeight="1">
      <c r="A233" s="50"/>
      <c r="B233" s="35" t="s">
        <v>324</v>
      </c>
      <c r="C233" s="38"/>
      <c r="D233" s="128"/>
      <c r="E233" s="128" t="s">
        <v>352</v>
      </c>
      <c r="F233" s="128"/>
      <c r="G233" s="128"/>
      <c r="H233" s="128"/>
      <c r="I233" s="41"/>
      <c r="J233" s="129">
        <f>2*2*4.5*7</f>
        <v>126</v>
      </c>
      <c r="K233" s="130" t="s">
        <v>8</v>
      </c>
      <c r="L233" s="13"/>
    </row>
    <row r="234" spans="1:12" ht="15" customHeight="1">
      <c r="A234" s="50"/>
      <c r="B234" s="35" t="s">
        <v>325</v>
      </c>
      <c r="C234" s="38"/>
      <c r="D234" s="128"/>
      <c r="E234" s="128" t="s">
        <v>353</v>
      </c>
      <c r="F234" s="128"/>
      <c r="G234" s="128"/>
      <c r="H234" s="128"/>
      <c r="I234" s="41"/>
      <c r="J234" s="129">
        <f>8*1*6*4</f>
        <v>192</v>
      </c>
      <c r="K234" s="130" t="s">
        <v>8</v>
      </c>
      <c r="L234" s="13"/>
    </row>
    <row r="235" spans="1:12" ht="15" customHeight="1">
      <c r="A235" s="50"/>
      <c r="B235" s="35" t="s">
        <v>326</v>
      </c>
      <c r="C235" s="38"/>
      <c r="D235" s="128"/>
      <c r="E235" s="128" t="s">
        <v>354</v>
      </c>
      <c r="F235" s="128"/>
      <c r="G235" s="128"/>
      <c r="H235" s="128"/>
      <c r="I235" s="41"/>
      <c r="J235" s="129">
        <f>2*1*3.5*4</f>
        <v>28</v>
      </c>
      <c r="K235" s="130" t="s">
        <v>8</v>
      </c>
      <c r="L235" s="13"/>
    </row>
    <row r="236" spans="1:12" ht="15" customHeight="1">
      <c r="A236" s="50"/>
      <c r="B236" s="35" t="s">
        <v>327</v>
      </c>
      <c r="C236" s="38"/>
      <c r="D236" s="128"/>
      <c r="E236" s="128" t="s">
        <v>355</v>
      </c>
      <c r="F236" s="128"/>
      <c r="G236" s="128"/>
      <c r="H236" s="128"/>
      <c r="I236" s="41"/>
      <c r="J236" s="129">
        <f>5*1*2*1.5</f>
        <v>15</v>
      </c>
      <c r="K236" s="130" t="s">
        <v>8</v>
      </c>
      <c r="L236" s="13"/>
    </row>
    <row r="237" spans="1:12" ht="15" customHeight="1">
      <c r="A237" s="50"/>
      <c r="B237" s="35"/>
      <c r="C237" s="38"/>
      <c r="D237" s="128"/>
      <c r="E237" s="128"/>
      <c r="F237" s="128"/>
      <c r="G237" s="128"/>
      <c r="H237" s="128"/>
      <c r="I237" s="41"/>
      <c r="J237" s="131">
        <f>SUM(J229:J236)</f>
        <v>826.5</v>
      </c>
      <c r="K237" s="132" t="s">
        <v>8</v>
      </c>
      <c r="L237" s="13"/>
    </row>
    <row r="238" spans="1:12" ht="15" customHeight="1">
      <c r="A238" s="50"/>
      <c r="B238" s="35"/>
      <c r="C238" s="38"/>
      <c r="D238" s="128"/>
      <c r="E238" s="128"/>
      <c r="F238" s="128"/>
      <c r="G238" s="128"/>
      <c r="H238" s="128"/>
      <c r="I238" s="41"/>
      <c r="J238" s="129"/>
      <c r="K238" s="130"/>
      <c r="L238" s="13"/>
    </row>
    <row r="239" spans="1:12" ht="15" customHeight="1">
      <c r="A239" s="50"/>
      <c r="B239" s="35"/>
      <c r="C239" s="38"/>
      <c r="D239" s="128"/>
      <c r="E239" s="128"/>
      <c r="F239" s="128"/>
      <c r="G239" s="128" t="s">
        <v>380</v>
      </c>
      <c r="H239" s="128"/>
      <c r="I239" s="41"/>
      <c r="J239" s="131">
        <f>J226-J237</f>
        <v>4314</v>
      </c>
      <c r="K239" s="132" t="s">
        <v>8</v>
      </c>
      <c r="L239" s="13"/>
    </row>
    <row r="240" spans="1:12" ht="15" customHeight="1">
      <c r="A240" s="50"/>
      <c r="B240" s="35"/>
      <c r="C240" s="38"/>
      <c r="D240" s="128"/>
      <c r="E240" s="128"/>
      <c r="F240" s="128"/>
      <c r="G240" s="128"/>
      <c r="H240" s="128"/>
      <c r="I240" s="41"/>
      <c r="J240" s="129"/>
      <c r="K240" s="130"/>
      <c r="L240" s="13"/>
    </row>
    <row r="241" spans="1:12" ht="15" customHeight="1">
      <c r="A241" s="50"/>
      <c r="B241" s="35" t="s">
        <v>356</v>
      </c>
      <c r="C241" s="38"/>
      <c r="D241" s="128"/>
      <c r="E241" s="128"/>
      <c r="F241" s="128"/>
      <c r="G241" s="128"/>
      <c r="H241" s="128"/>
      <c r="I241" s="41"/>
      <c r="J241" s="129"/>
      <c r="K241" s="130"/>
      <c r="L241" s="13"/>
    </row>
    <row r="242" spans="1:12" ht="15" customHeight="1">
      <c r="A242" s="50"/>
      <c r="B242" s="35" t="s">
        <v>280</v>
      </c>
      <c r="C242" s="38"/>
      <c r="D242" s="128"/>
      <c r="E242" s="128" t="s">
        <v>362</v>
      </c>
      <c r="F242" s="128"/>
      <c r="G242" s="128"/>
      <c r="H242" s="128"/>
      <c r="I242" s="41"/>
      <c r="J242" s="129">
        <f>1*38.5*10.5</f>
        <v>404.25</v>
      </c>
      <c r="K242" s="130" t="s">
        <v>8</v>
      </c>
      <c r="L242" s="13"/>
    </row>
    <row r="243" spans="1:12" ht="15" customHeight="1">
      <c r="A243" s="50"/>
      <c r="B243" s="35" t="s">
        <v>75</v>
      </c>
      <c r="C243" s="38"/>
      <c r="D243" s="128"/>
      <c r="E243" s="128" t="s">
        <v>363</v>
      </c>
      <c r="F243" s="128"/>
      <c r="G243" s="128"/>
      <c r="H243" s="128"/>
      <c r="I243" s="41"/>
      <c r="J243" s="129">
        <f>1*3.5*10.5</f>
        <v>36.75</v>
      </c>
      <c r="K243" s="130" t="s">
        <v>8</v>
      </c>
      <c r="L243" s="13"/>
    </row>
    <row r="244" spans="1:12" ht="15" customHeight="1">
      <c r="A244" s="50"/>
      <c r="B244" s="35" t="s">
        <v>75</v>
      </c>
      <c r="C244" s="38"/>
      <c r="D244" s="128"/>
      <c r="E244" s="128" t="s">
        <v>364</v>
      </c>
      <c r="F244" s="128"/>
      <c r="G244" s="128"/>
      <c r="H244" s="128"/>
      <c r="I244" s="41"/>
      <c r="J244" s="129">
        <f>1*8.5*10.5</f>
        <v>89.25</v>
      </c>
      <c r="K244" s="130" t="s">
        <v>8</v>
      </c>
      <c r="L244" s="13"/>
    </row>
    <row r="245" spans="1:12" ht="15" customHeight="1">
      <c r="A245" s="50"/>
      <c r="B245" s="35" t="s">
        <v>315</v>
      </c>
      <c r="C245" s="38"/>
      <c r="D245" s="128"/>
      <c r="E245" s="128" t="s">
        <v>365</v>
      </c>
      <c r="F245" s="128"/>
      <c r="G245" s="128"/>
      <c r="H245" s="128"/>
      <c r="I245" s="41"/>
      <c r="J245" s="129">
        <f>1*17*10.5</f>
        <v>178.5</v>
      </c>
      <c r="K245" s="130" t="s">
        <v>8</v>
      </c>
      <c r="L245" s="13"/>
    </row>
    <row r="246" spans="1:12" ht="15" customHeight="1">
      <c r="A246" s="50"/>
      <c r="B246" s="35" t="s">
        <v>75</v>
      </c>
      <c r="C246" s="38"/>
      <c r="D246" s="128"/>
      <c r="E246" s="128" t="s">
        <v>366</v>
      </c>
      <c r="F246" s="128"/>
      <c r="G246" s="128"/>
      <c r="H246" s="128"/>
      <c r="I246" s="41"/>
      <c r="J246" s="129">
        <f>1*24.5*10.5</f>
        <v>257.25</v>
      </c>
      <c r="K246" s="130" t="s">
        <v>8</v>
      </c>
      <c r="L246" s="13"/>
    </row>
    <row r="247" spans="1:12" ht="15" customHeight="1">
      <c r="A247" s="50"/>
      <c r="B247" s="35" t="s">
        <v>357</v>
      </c>
      <c r="C247" s="38"/>
      <c r="D247" s="128"/>
      <c r="E247" s="128" t="s">
        <v>367</v>
      </c>
      <c r="F247" s="128"/>
      <c r="G247" s="128"/>
      <c r="H247" s="128"/>
      <c r="I247" s="41"/>
      <c r="J247" s="129">
        <f>2*7*10.5</f>
        <v>147</v>
      </c>
      <c r="K247" s="130" t="s">
        <v>8</v>
      </c>
      <c r="L247" s="13"/>
    </row>
    <row r="248" spans="1:12" ht="15" customHeight="1">
      <c r="A248" s="50"/>
      <c r="B248" s="35" t="s">
        <v>358</v>
      </c>
      <c r="C248" s="38"/>
      <c r="D248" s="128"/>
      <c r="E248" s="128" t="s">
        <v>368</v>
      </c>
      <c r="F248" s="128"/>
      <c r="G248" s="128"/>
      <c r="H248" s="128"/>
      <c r="I248" s="41"/>
      <c r="J248" s="129">
        <f>1*55*10.5</f>
        <v>577.5</v>
      </c>
      <c r="K248" s="130" t="s">
        <v>8</v>
      </c>
      <c r="L248" s="13"/>
    </row>
    <row r="249" spans="1:12" ht="15" customHeight="1">
      <c r="A249" s="50"/>
      <c r="B249" s="35" t="s">
        <v>359</v>
      </c>
      <c r="C249" s="38"/>
      <c r="D249" s="128"/>
      <c r="E249" s="128" t="s">
        <v>365</v>
      </c>
      <c r="F249" s="128"/>
      <c r="G249" s="128"/>
      <c r="H249" s="128"/>
      <c r="I249" s="41"/>
      <c r="J249" s="129">
        <f>1*17*10.5</f>
        <v>178.5</v>
      </c>
      <c r="K249" s="130" t="s">
        <v>8</v>
      </c>
      <c r="L249" s="13"/>
    </row>
    <row r="250" spans="1:12" ht="15" customHeight="1">
      <c r="A250" s="50"/>
      <c r="B250" s="35" t="s">
        <v>357</v>
      </c>
      <c r="C250" s="38"/>
      <c r="D250" s="128"/>
      <c r="E250" s="128" t="s">
        <v>369</v>
      </c>
      <c r="F250" s="128"/>
      <c r="G250" s="128"/>
      <c r="H250" s="128"/>
      <c r="I250" s="41"/>
      <c r="J250" s="129">
        <f>1*13*10.5</f>
        <v>136.5</v>
      </c>
      <c r="K250" s="130" t="s">
        <v>8</v>
      </c>
      <c r="L250" s="13"/>
    </row>
    <row r="251" spans="1:12" ht="15" customHeight="1">
      <c r="A251" s="50"/>
      <c r="B251" s="35" t="s">
        <v>357</v>
      </c>
      <c r="C251" s="38"/>
      <c r="D251" s="128"/>
      <c r="E251" s="8" t="s">
        <v>371</v>
      </c>
      <c r="F251" s="128"/>
      <c r="G251" s="128"/>
      <c r="H251" s="128"/>
      <c r="I251" s="41"/>
      <c r="J251" s="129">
        <f>1*17.5*10.5</f>
        <v>183.75</v>
      </c>
      <c r="K251" s="130" t="s">
        <v>8</v>
      </c>
      <c r="L251" s="13"/>
    </row>
    <row r="252" spans="1:12" ht="15" customHeight="1">
      <c r="A252" s="50"/>
      <c r="B252" s="35" t="s">
        <v>360</v>
      </c>
      <c r="C252" s="38"/>
      <c r="D252" s="128"/>
      <c r="E252" s="128" t="s">
        <v>370</v>
      </c>
      <c r="F252" s="128"/>
      <c r="G252" s="128"/>
      <c r="H252" s="128"/>
      <c r="I252" s="41"/>
      <c r="J252" s="129">
        <f>1*18.5*10.5</f>
        <v>194.25</v>
      </c>
      <c r="K252" s="130" t="s">
        <v>8</v>
      </c>
      <c r="L252" s="13"/>
    </row>
    <row r="253" spans="1:12" ht="15" customHeight="1">
      <c r="A253" s="50"/>
      <c r="B253" s="35" t="s">
        <v>357</v>
      </c>
      <c r="C253" s="38"/>
      <c r="D253" s="128"/>
      <c r="E253" s="128" t="s">
        <v>372</v>
      </c>
      <c r="F253" s="128"/>
      <c r="G253" s="128"/>
      <c r="H253" s="128"/>
      <c r="I253" s="41"/>
      <c r="J253" s="129">
        <f>1*11*10.5</f>
        <v>115.5</v>
      </c>
      <c r="K253" s="130" t="s">
        <v>8</v>
      </c>
      <c r="L253" s="13"/>
    </row>
    <row r="254" spans="1:12" ht="15" customHeight="1">
      <c r="A254" s="50"/>
      <c r="B254" s="35" t="s">
        <v>361</v>
      </c>
      <c r="C254" s="38"/>
      <c r="D254" s="128"/>
      <c r="E254" s="128" t="s">
        <v>373</v>
      </c>
      <c r="F254" s="128"/>
      <c r="G254" s="128"/>
      <c r="H254" s="128"/>
      <c r="I254" s="41"/>
      <c r="J254" s="129">
        <f>18*2.5*8.5</f>
        <v>382.5</v>
      </c>
      <c r="K254" s="130" t="s">
        <v>8</v>
      </c>
      <c r="L254" s="13"/>
    </row>
    <row r="255" spans="1:12" ht="15" customHeight="1">
      <c r="A255" s="50"/>
      <c r="B255" s="35"/>
      <c r="C255" s="38"/>
      <c r="D255" s="128"/>
      <c r="E255" s="128"/>
      <c r="F255" s="128"/>
      <c r="G255" s="128"/>
      <c r="H255" s="128"/>
      <c r="I255" s="41"/>
      <c r="J255" s="131">
        <f>SUM(J242:J254)</f>
        <v>2881.5</v>
      </c>
      <c r="K255" s="132" t="s">
        <v>8</v>
      </c>
      <c r="L255" s="13"/>
    </row>
    <row r="256" spans="1:12" ht="15" customHeight="1">
      <c r="A256" s="50"/>
      <c r="B256" s="35"/>
      <c r="C256" s="38"/>
      <c r="D256" s="128"/>
      <c r="E256" s="128"/>
      <c r="F256" s="128"/>
      <c r="G256" s="128"/>
      <c r="H256" s="128"/>
      <c r="I256" s="41"/>
      <c r="J256" s="129"/>
      <c r="K256" s="130"/>
      <c r="L256" s="13"/>
    </row>
    <row r="257" spans="1:12" ht="15" customHeight="1">
      <c r="A257" s="50"/>
      <c r="B257" s="35" t="s">
        <v>68</v>
      </c>
      <c r="C257" s="38"/>
      <c r="D257" s="128"/>
      <c r="E257" s="128"/>
      <c r="F257" s="128"/>
      <c r="G257" s="128"/>
      <c r="H257" s="128"/>
      <c r="I257" s="41"/>
      <c r="J257" s="129"/>
      <c r="K257" s="130"/>
      <c r="L257" s="13"/>
    </row>
    <row r="258" spans="1:12" ht="15" customHeight="1">
      <c r="A258" s="50"/>
      <c r="B258" s="35" t="s">
        <v>320</v>
      </c>
      <c r="C258" s="38"/>
      <c r="D258" s="128"/>
      <c r="E258" s="128" t="s">
        <v>374</v>
      </c>
      <c r="F258" s="128"/>
      <c r="G258" s="128"/>
      <c r="H258" s="128"/>
      <c r="I258" s="41"/>
      <c r="J258" s="129">
        <f>3*5*7</f>
        <v>105</v>
      </c>
      <c r="K258" s="130" t="s">
        <v>8</v>
      </c>
      <c r="L258" s="13"/>
    </row>
    <row r="259" spans="1:12" ht="15" customHeight="1">
      <c r="A259" s="50"/>
      <c r="B259" s="35" t="s">
        <v>322</v>
      </c>
      <c r="C259" s="38"/>
      <c r="D259" s="128"/>
      <c r="E259" s="128" t="s">
        <v>375</v>
      </c>
      <c r="F259" s="128"/>
      <c r="G259" s="128"/>
      <c r="H259" s="128"/>
      <c r="I259" s="41"/>
      <c r="J259" s="129">
        <f>1*3*7</f>
        <v>21</v>
      </c>
      <c r="K259" s="130" t="s">
        <v>8</v>
      </c>
      <c r="L259" s="13"/>
    </row>
    <row r="260" spans="1:12" ht="15" customHeight="1">
      <c r="A260" s="50"/>
      <c r="B260" s="35" t="s">
        <v>325</v>
      </c>
      <c r="C260" s="38"/>
      <c r="D260" s="128"/>
      <c r="E260" s="128" t="s">
        <v>376</v>
      </c>
      <c r="F260" s="128"/>
      <c r="G260" s="128"/>
      <c r="H260" s="128"/>
      <c r="I260" s="41"/>
      <c r="J260" s="129">
        <f>8*6*4</f>
        <v>192</v>
      </c>
      <c r="K260" s="130" t="s">
        <v>8</v>
      </c>
      <c r="L260" s="13"/>
    </row>
    <row r="261" spans="1:12" ht="15" customHeight="1">
      <c r="A261" s="50"/>
      <c r="B261" s="35" t="s">
        <v>326</v>
      </c>
      <c r="C261" s="38"/>
      <c r="D261" s="128"/>
      <c r="E261" s="128" t="s">
        <v>377</v>
      </c>
      <c r="F261" s="128"/>
      <c r="G261" s="128"/>
      <c r="H261" s="128"/>
      <c r="I261" s="41"/>
      <c r="J261" s="129">
        <f>2*3.5*4</f>
        <v>28</v>
      </c>
      <c r="K261" s="130" t="s">
        <v>8</v>
      </c>
      <c r="L261" s="13"/>
    </row>
    <row r="262" spans="1:12" ht="15" customHeight="1">
      <c r="A262" s="50"/>
      <c r="B262" s="35" t="s">
        <v>327</v>
      </c>
      <c r="C262" s="38"/>
      <c r="D262" s="128"/>
      <c r="E262" s="128" t="s">
        <v>378</v>
      </c>
      <c r="F262" s="128"/>
      <c r="G262" s="128"/>
      <c r="H262" s="128"/>
      <c r="I262" s="41"/>
      <c r="J262" s="129">
        <f>5*2*1.5</f>
        <v>15</v>
      </c>
      <c r="K262" s="130" t="s">
        <v>8</v>
      </c>
      <c r="L262" s="13"/>
    </row>
    <row r="263" spans="1:12" ht="15" customHeight="1">
      <c r="A263" s="50"/>
      <c r="B263" s="35"/>
      <c r="C263" s="38"/>
      <c r="D263" s="128"/>
      <c r="E263" s="128"/>
      <c r="F263" s="128"/>
      <c r="G263" s="128"/>
      <c r="H263" s="128"/>
      <c r="I263" s="41"/>
      <c r="J263" s="131">
        <f>SUM(J258:J262)</f>
        <v>361</v>
      </c>
      <c r="K263" s="132" t="s">
        <v>8</v>
      </c>
      <c r="L263" s="13"/>
    </row>
    <row r="264" spans="1:12" ht="15" customHeight="1">
      <c r="A264" s="50"/>
      <c r="B264" s="35"/>
      <c r="C264" s="38"/>
      <c r="D264" s="128"/>
      <c r="E264" s="128"/>
      <c r="F264" s="128"/>
      <c r="G264" s="128"/>
      <c r="H264" s="128"/>
      <c r="I264" s="41"/>
      <c r="J264" s="129"/>
      <c r="K264" s="130"/>
      <c r="L264" s="13"/>
    </row>
    <row r="265" spans="1:12" ht="15" customHeight="1">
      <c r="A265" s="50"/>
      <c r="B265" s="35"/>
      <c r="C265" s="38"/>
      <c r="D265" s="128"/>
      <c r="E265" s="128"/>
      <c r="F265" s="128"/>
      <c r="G265" s="128" t="s">
        <v>379</v>
      </c>
      <c r="H265" s="128"/>
      <c r="I265" s="41"/>
      <c r="J265" s="131">
        <f>J255-J263</f>
        <v>2520.5</v>
      </c>
      <c r="K265" s="132" t="s">
        <v>8</v>
      </c>
      <c r="L265" s="13"/>
    </row>
    <row r="266" spans="1:12" ht="15" customHeight="1">
      <c r="A266" s="50"/>
      <c r="B266" s="35"/>
      <c r="C266" s="38"/>
      <c r="D266" s="128"/>
      <c r="E266" s="128"/>
      <c r="F266" s="128"/>
      <c r="G266" s="128"/>
      <c r="H266" s="128"/>
      <c r="I266" s="41"/>
      <c r="J266" s="129"/>
      <c r="K266" s="130"/>
      <c r="L266" s="13"/>
    </row>
    <row r="267" spans="1:12" ht="15" customHeight="1">
      <c r="A267" s="50"/>
      <c r="B267" s="35"/>
      <c r="C267" s="38"/>
      <c r="D267" s="128"/>
      <c r="E267" s="128"/>
      <c r="F267" s="128"/>
      <c r="G267" s="128" t="s">
        <v>110</v>
      </c>
      <c r="H267" s="128"/>
      <c r="I267" s="41"/>
      <c r="J267" s="131">
        <f>J239+J265</f>
        <v>6834.5</v>
      </c>
      <c r="K267" s="132" t="s">
        <v>8</v>
      </c>
      <c r="L267" s="13"/>
    </row>
    <row r="268" spans="1:12" ht="15" customHeight="1">
      <c r="A268" s="50"/>
      <c r="B268" s="35"/>
      <c r="C268" s="38"/>
      <c r="D268" s="128"/>
      <c r="E268" s="128"/>
      <c r="F268" s="128"/>
      <c r="G268" s="128"/>
      <c r="H268" s="128"/>
      <c r="I268" s="41"/>
      <c r="J268" s="129"/>
      <c r="K268" s="130"/>
      <c r="L268" s="13"/>
    </row>
    <row r="269" spans="1:12" ht="15" customHeight="1">
      <c r="A269" s="4">
        <v>5</v>
      </c>
      <c r="B269" s="51" t="s">
        <v>381</v>
      </c>
      <c r="C269" s="38"/>
      <c r="D269" s="128"/>
      <c r="E269" s="128"/>
      <c r="F269" s="128"/>
      <c r="G269" s="128"/>
      <c r="H269" s="128"/>
      <c r="I269" s="41"/>
      <c r="J269" s="129"/>
      <c r="K269" s="130"/>
      <c r="L269" s="13"/>
    </row>
    <row r="270" spans="1:12" ht="15" customHeight="1">
      <c r="A270" s="50"/>
      <c r="B270" s="35" t="s">
        <v>320</v>
      </c>
      <c r="C270" s="38"/>
      <c r="D270" s="128"/>
      <c r="E270" s="128" t="s">
        <v>382</v>
      </c>
      <c r="F270" s="128"/>
      <c r="G270" s="128"/>
      <c r="H270" s="128"/>
      <c r="I270" s="41"/>
      <c r="J270" s="129">
        <f>3*19</f>
        <v>57</v>
      </c>
      <c r="K270" s="130" t="s">
        <v>386</v>
      </c>
      <c r="L270" s="32"/>
    </row>
    <row r="271" spans="1:12" ht="15" customHeight="1">
      <c r="A271" s="50"/>
      <c r="B271" s="35" t="s">
        <v>321</v>
      </c>
      <c r="C271" s="38"/>
      <c r="D271" s="128"/>
      <c r="E271" s="128" t="s">
        <v>383</v>
      </c>
      <c r="F271" s="128"/>
      <c r="G271" s="128"/>
      <c r="H271" s="128"/>
      <c r="I271" s="41"/>
      <c r="J271" s="129">
        <f>3*17.5</f>
        <v>52.5</v>
      </c>
      <c r="K271" s="130" t="s">
        <v>386</v>
      </c>
      <c r="L271" s="13"/>
    </row>
    <row r="272" spans="1:12" ht="15" customHeight="1">
      <c r="A272" s="50"/>
      <c r="B272" s="35" t="s">
        <v>322</v>
      </c>
      <c r="C272" s="38"/>
      <c r="D272" s="128"/>
      <c r="E272" s="128" t="s">
        <v>384</v>
      </c>
      <c r="F272" s="128"/>
      <c r="G272" s="128"/>
      <c r="H272" s="128"/>
      <c r="I272" s="41"/>
      <c r="J272" s="129">
        <f>3*17</f>
        <v>51</v>
      </c>
      <c r="K272" s="130" t="s">
        <v>386</v>
      </c>
      <c r="L272" s="13"/>
    </row>
    <row r="273" spans="1:12" ht="15" customHeight="1">
      <c r="A273" s="50"/>
      <c r="B273" s="35" t="s">
        <v>323</v>
      </c>
      <c r="C273" s="38"/>
      <c r="D273" s="128"/>
      <c r="E273" s="128" t="s">
        <v>385</v>
      </c>
      <c r="F273" s="128"/>
      <c r="G273" s="128"/>
      <c r="H273" s="128"/>
      <c r="I273" s="41"/>
      <c r="J273" s="129">
        <f>5*16.5</f>
        <v>82.5</v>
      </c>
      <c r="K273" s="130" t="s">
        <v>386</v>
      </c>
      <c r="L273" s="13"/>
    </row>
    <row r="274" spans="1:12" ht="15" customHeight="1">
      <c r="A274" s="50"/>
      <c r="B274" s="35"/>
      <c r="C274" s="38"/>
      <c r="D274" s="128"/>
      <c r="E274" s="128"/>
      <c r="F274" s="128"/>
      <c r="G274" s="128"/>
      <c r="H274" s="128"/>
      <c r="I274" s="41"/>
      <c r="J274" s="131">
        <f>SUM(J270:J273)</f>
        <v>243</v>
      </c>
      <c r="K274" s="132" t="s">
        <v>386</v>
      </c>
      <c r="L274" s="13"/>
    </row>
    <row r="275" spans="1:12" ht="15" customHeight="1">
      <c r="A275" s="50"/>
      <c r="B275" s="35"/>
      <c r="C275" s="38"/>
      <c r="D275" s="128"/>
      <c r="E275" s="128"/>
      <c r="F275" s="128"/>
      <c r="G275" s="128"/>
      <c r="H275" s="128"/>
      <c r="I275" s="41"/>
      <c r="J275" s="129"/>
      <c r="K275" s="130"/>
      <c r="L275" s="13"/>
    </row>
    <row r="276" spans="1:12" ht="15" customHeight="1">
      <c r="A276" s="50">
        <v>6</v>
      </c>
      <c r="B276" s="35" t="s">
        <v>387</v>
      </c>
      <c r="C276" s="38"/>
      <c r="D276" s="128"/>
      <c r="E276" s="128"/>
      <c r="F276" s="128"/>
      <c r="G276" s="128"/>
      <c r="H276" s="128"/>
      <c r="I276" s="41"/>
      <c r="J276" s="129"/>
      <c r="K276" s="130"/>
      <c r="L276" s="13"/>
    </row>
    <row r="277" spans="1:12" ht="15" customHeight="1">
      <c r="A277" s="50"/>
      <c r="B277" s="35" t="s">
        <v>320</v>
      </c>
      <c r="C277" s="38"/>
      <c r="D277" s="128"/>
      <c r="E277" s="128" t="s">
        <v>388</v>
      </c>
      <c r="F277" s="128"/>
      <c r="G277" s="128"/>
      <c r="H277" s="128"/>
      <c r="I277" s="41"/>
      <c r="J277" s="129">
        <f>2*5*7</f>
        <v>70</v>
      </c>
      <c r="K277" s="130" t="s">
        <v>392</v>
      </c>
      <c r="L277" s="13"/>
    </row>
    <row r="278" spans="1:12" ht="15" customHeight="1">
      <c r="A278" s="50"/>
      <c r="B278" s="35" t="s">
        <v>321</v>
      </c>
      <c r="C278" s="38"/>
      <c r="D278" s="128"/>
      <c r="E278" s="128" t="s">
        <v>389</v>
      </c>
      <c r="F278" s="128"/>
      <c r="G278" s="128"/>
      <c r="H278" s="128"/>
      <c r="I278" s="41"/>
      <c r="J278" s="129">
        <f>3*3.5*7</f>
        <v>73.5</v>
      </c>
      <c r="K278" s="130" t="s">
        <v>392</v>
      </c>
    </row>
    <row r="279" spans="1:12" ht="15" customHeight="1">
      <c r="A279" s="50"/>
      <c r="B279" s="35" t="s">
        <v>322</v>
      </c>
      <c r="C279" s="38"/>
      <c r="D279" s="128"/>
      <c r="E279" s="128" t="s">
        <v>390</v>
      </c>
      <c r="F279" s="128"/>
      <c r="G279" s="128"/>
      <c r="H279" s="128"/>
      <c r="I279" s="41"/>
      <c r="J279" s="129">
        <f>3*3*7</f>
        <v>63</v>
      </c>
      <c r="K279" s="130" t="s">
        <v>392</v>
      </c>
    </row>
    <row r="280" spans="1:12" ht="15" customHeight="1">
      <c r="A280" s="50"/>
      <c r="B280" s="35" t="s">
        <v>323</v>
      </c>
      <c r="C280" s="38"/>
      <c r="D280" s="128"/>
      <c r="E280" s="128" t="s">
        <v>391</v>
      </c>
      <c r="F280" s="128"/>
      <c r="G280" s="128"/>
      <c r="H280" s="128"/>
      <c r="I280" s="41"/>
      <c r="J280" s="129">
        <f>5*2.5*7</f>
        <v>87.5</v>
      </c>
      <c r="K280" s="130" t="s">
        <v>392</v>
      </c>
    </row>
    <row r="281" spans="1:12" ht="15" customHeight="1">
      <c r="A281" s="50"/>
      <c r="B281" s="35"/>
      <c r="C281" s="38"/>
      <c r="D281" s="128"/>
      <c r="E281" s="128"/>
      <c r="F281" s="128"/>
      <c r="G281" s="128"/>
      <c r="H281" s="128"/>
      <c r="I281" s="41"/>
      <c r="J281" s="131">
        <f>SUM(J277:J280)</f>
        <v>294</v>
      </c>
      <c r="K281" s="132" t="s">
        <v>392</v>
      </c>
    </row>
    <row r="282" spans="1:12" ht="15" customHeight="1">
      <c r="A282" s="50"/>
      <c r="B282" s="35"/>
      <c r="C282" s="38"/>
      <c r="D282" s="128"/>
      <c r="E282" s="128"/>
      <c r="F282" s="128"/>
      <c r="G282" s="128"/>
      <c r="H282" s="128"/>
      <c r="I282" s="41"/>
      <c r="J282" s="129"/>
      <c r="K282" s="130"/>
      <c r="L282" s="13"/>
    </row>
    <row r="283" spans="1:12" ht="15" customHeight="1">
      <c r="A283" s="50"/>
      <c r="B283" s="35"/>
      <c r="C283" s="38"/>
      <c r="D283" s="128"/>
      <c r="E283" s="128"/>
      <c r="F283" s="128"/>
      <c r="G283" s="128"/>
      <c r="H283" s="128"/>
      <c r="I283" s="41"/>
      <c r="J283" s="129"/>
      <c r="K283" s="130"/>
      <c r="L283" s="13"/>
    </row>
    <row r="284" spans="1:12" ht="15" customHeight="1">
      <c r="A284" s="50">
        <v>7</v>
      </c>
      <c r="B284" s="35" t="s">
        <v>393</v>
      </c>
      <c r="C284" s="38"/>
      <c r="D284" s="128"/>
      <c r="E284" s="128"/>
      <c r="F284" s="128"/>
      <c r="G284" s="128"/>
      <c r="H284" s="128"/>
      <c r="I284" s="41"/>
      <c r="J284" s="129"/>
      <c r="K284" s="130"/>
      <c r="L284" s="13"/>
    </row>
    <row r="285" spans="1:12" ht="15" customHeight="1">
      <c r="A285" s="50"/>
      <c r="B285" s="35" t="s">
        <v>320</v>
      </c>
      <c r="C285" s="38"/>
      <c r="D285" s="128"/>
      <c r="E285" s="128" t="s">
        <v>394</v>
      </c>
      <c r="F285" s="128"/>
      <c r="G285" s="128"/>
      <c r="H285" s="128"/>
      <c r="I285" s="41"/>
      <c r="J285" s="129">
        <v>35</v>
      </c>
      <c r="K285" s="130" t="s">
        <v>8</v>
      </c>
      <c r="L285" s="13"/>
    </row>
    <row r="286" spans="1:12" ht="15" customHeight="1">
      <c r="A286" s="50"/>
      <c r="B286" s="35"/>
      <c r="C286" s="38"/>
      <c r="D286" s="128"/>
      <c r="E286" s="128"/>
      <c r="F286" s="128"/>
      <c r="G286" s="128"/>
      <c r="H286" s="128"/>
      <c r="I286" s="41"/>
      <c r="J286" s="129"/>
      <c r="K286" s="130"/>
      <c r="L286" s="13"/>
    </row>
    <row r="287" spans="1:12" ht="15" customHeight="1">
      <c r="A287" s="50">
        <v>8</v>
      </c>
      <c r="B287" s="35" t="s">
        <v>395</v>
      </c>
      <c r="C287" s="38"/>
      <c r="D287" s="128"/>
      <c r="E287" s="128"/>
      <c r="F287" s="128"/>
      <c r="G287" s="128"/>
      <c r="H287" s="128"/>
      <c r="I287" s="41"/>
      <c r="J287" s="129"/>
      <c r="K287" s="130"/>
      <c r="L287" s="13"/>
    </row>
    <row r="288" spans="1:12" ht="15" customHeight="1">
      <c r="A288" s="50"/>
      <c r="B288" s="35" t="s">
        <v>320</v>
      </c>
      <c r="C288" s="38"/>
      <c r="D288" s="128"/>
      <c r="E288" s="128" t="s">
        <v>396</v>
      </c>
      <c r="F288" s="128"/>
      <c r="G288" s="128"/>
      <c r="H288" s="128"/>
      <c r="I288" s="41"/>
      <c r="J288" s="129">
        <f>3*2*19</f>
        <v>114</v>
      </c>
      <c r="K288" s="130" t="s">
        <v>392</v>
      </c>
      <c r="L288" s="13"/>
    </row>
    <row r="289" spans="1:12" ht="15" customHeight="1">
      <c r="A289" s="50"/>
      <c r="B289" s="35" t="s">
        <v>321</v>
      </c>
      <c r="C289" s="38"/>
      <c r="D289" s="128"/>
      <c r="E289" s="128" t="s">
        <v>397</v>
      </c>
      <c r="F289" s="128"/>
      <c r="G289" s="128"/>
      <c r="H289" s="128"/>
      <c r="I289" s="41"/>
      <c r="J289" s="129">
        <f>3*2*17.5</f>
        <v>105</v>
      </c>
      <c r="K289" s="130" t="s">
        <v>392</v>
      </c>
      <c r="L289" s="13"/>
    </row>
    <row r="290" spans="1:12" ht="15" customHeight="1">
      <c r="A290" s="50"/>
      <c r="B290" s="35" t="s">
        <v>322</v>
      </c>
      <c r="C290" s="38"/>
      <c r="D290" s="128"/>
      <c r="E290" s="128" t="s">
        <v>398</v>
      </c>
      <c r="F290" s="128"/>
      <c r="G290" s="128"/>
      <c r="H290" s="128"/>
      <c r="I290" s="41"/>
      <c r="J290" s="129">
        <f>3*2*17</f>
        <v>102</v>
      </c>
      <c r="K290" s="130" t="s">
        <v>392</v>
      </c>
      <c r="L290" s="13"/>
    </row>
    <row r="291" spans="1:12" ht="15" customHeight="1">
      <c r="A291" s="50"/>
      <c r="B291" s="35" t="s">
        <v>323</v>
      </c>
      <c r="C291" s="38"/>
      <c r="D291" s="128"/>
      <c r="E291" s="128" t="s">
        <v>399</v>
      </c>
      <c r="F291" s="128"/>
      <c r="G291" s="128"/>
      <c r="H291" s="128"/>
      <c r="I291" s="41"/>
      <c r="J291" s="129">
        <f>5*2*16.5</f>
        <v>165</v>
      </c>
      <c r="K291" s="130" t="s">
        <v>392</v>
      </c>
      <c r="L291" s="13"/>
    </row>
    <row r="292" spans="1:12" ht="15" customHeight="1">
      <c r="A292" s="50"/>
      <c r="B292" s="35"/>
      <c r="C292" s="38"/>
      <c r="D292" s="128"/>
      <c r="E292" s="128"/>
      <c r="F292" s="128"/>
      <c r="G292" s="128"/>
      <c r="H292" s="128"/>
      <c r="I292" s="41"/>
      <c r="J292" s="131">
        <f>SUM(J288:J291)</f>
        <v>486</v>
      </c>
      <c r="K292" s="132" t="s">
        <v>392</v>
      </c>
      <c r="L292" s="13"/>
    </row>
    <row r="293" spans="1:12" ht="15" customHeight="1">
      <c r="A293" s="50">
        <v>9</v>
      </c>
      <c r="B293" s="35" t="s">
        <v>400</v>
      </c>
      <c r="C293" s="38"/>
      <c r="D293" s="128"/>
      <c r="E293" s="128"/>
      <c r="F293" s="128"/>
      <c r="G293" s="128"/>
      <c r="H293" s="128"/>
      <c r="I293" s="41"/>
      <c r="J293" s="129"/>
      <c r="K293" s="130"/>
      <c r="L293" s="13"/>
    </row>
    <row r="294" spans="1:12" ht="15" customHeight="1">
      <c r="A294" s="50"/>
      <c r="B294" s="35" t="s">
        <v>320</v>
      </c>
      <c r="C294" s="38"/>
      <c r="D294" s="128"/>
      <c r="E294" s="128" t="s">
        <v>401</v>
      </c>
      <c r="F294" s="128"/>
      <c r="G294" s="128"/>
      <c r="H294" s="128"/>
      <c r="I294" s="41"/>
      <c r="J294" s="139">
        <v>3</v>
      </c>
      <c r="K294" s="130" t="s">
        <v>402</v>
      </c>
      <c r="L294" s="13"/>
    </row>
    <row r="295" spans="1:12" ht="15" customHeight="1">
      <c r="A295" s="50"/>
      <c r="B295" s="35" t="s">
        <v>321</v>
      </c>
      <c r="C295" s="38"/>
      <c r="D295" s="128"/>
      <c r="E295" s="128" t="s">
        <v>401</v>
      </c>
      <c r="F295" s="128"/>
      <c r="G295" s="128"/>
      <c r="H295" s="128"/>
      <c r="I295" s="41"/>
      <c r="J295" s="139">
        <v>3</v>
      </c>
      <c r="K295" s="130" t="s">
        <v>402</v>
      </c>
      <c r="L295" s="13"/>
    </row>
    <row r="296" spans="1:12" ht="15" customHeight="1">
      <c r="A296" s="50"/>
      <c r="B296" s="35" t="s">
        <v>322</v>
      </c>
      <c r="C296" s="38"/>
      <c r="D296" s="128"/>
      <c r="E296" s="128" t="s">
        <v>401</v>
      </c>
      <c r="F296" s="128"/>
      <c r="G296" s="128"/>
      <c r="H296" s="128"/>
      <c r="I296" s="41"/>
      <c r="J296" s="139">
        <v>3</v>
      </c>
      <c r="K296" s="130" t="s">
        <v>402</v>
      </c>
      <c r="L296" s="13"/>
    </row>
    <row r="297" spans="1:12" ht="15" customHeight="1">
      <c r="A297" s="50"/>
      <c r="B297" s="35"/>
      <c r="C297" s="38"/>
      <c r="D297" s="128"/>
      <c r="E297" s="128"/>
      <c r="F297" s="128"/>
      <c r="G297" s="128"/>
      <c r="H297" s="128"/>
      <c r="I297" s="41"/>
      <c r="J297" s="140">
        <f>SUM(J294:J296)</f>
        <v>9</v>
      </c>
      <c r="K297" s="132" t="s">
        <v>402</v>
      </c>
      <c r="L297" s="13"/>
    </row>
    <row r="298" spans="1:12" ht="15" customHeight="1">
      <c r="A298" s="50"/>
      <c r="B298" s="35"/>
      <c r="C298" s="38"/>
      <c r="D298" s="128"/>
      <c r="E298" s="128"/>
      <c r="F298" s="128"/>
      <c r="G298" s="128"/>
      <c r="H298" s="128"/>
      <c r="I298" s="41"/>
      <c r="J298" s="129"/>
      <c r="K298" s="130"/>
      <c r="L298" s="13"/>
    </row>
    <row r="299" spans="1:12" ht="15" customHeight="1">
      <c r="A299" s="50">
        <v>10</v>
      </c>
      <c r="B299" s="35" t="s">
        <v>403</v>
      </c>
      <c r="C299" s="38"/>
      <c r="D299" s="128"/>
      <c r="E299" s="128"/>
      <c r="F299" s="128"/>
      <c r="G299" s="128"/>
      <c r="H299" s="128"/>
      <c r="I299" s="41"/>
      <c r="J299" s="129"/>
      <c r="K299" s="130"/>
      <c r="L299" s="13"/>
    </row>
    <row r="300" spans="1:12" ht="15" customHeight="1">
      <c r="A300" s="50"/>
      <c r="B300" s="35" t="s">
        <v>404</v>
      </c>
      <c r="C300" s="38"/>
      <c r="D300" s="128"/>
      <c r="E300" s="128" t="s">
        <v>405</v>
      </c>
      <c r="F300" s="128"/>
      <c r="G300" s="128"/>
      <c r="H300" s="128"/>
      <c r="I300" s="41"/>
      <c r="J300" s="129">
        <f>1*47*58.5</f>
        <v>2749.5</v>
      </c>
      <c r="K300" s="130" t="s">
        <v>8</v>
      </c>
      <c r="L300" s="13"/>
    </row>
    <row r="301" spans="1:12" ht="15" customHeight="1">
      <c r="A301" s="50"/>
      <c r="B301" s="35"/>
      <c r="C301" s="38"/>
      <c r="D301" s="128"/>
      <c r="E301" s="128"/>
      <c r="F301" s="128"/>
      <c r="G301" s="128"/>
      <c r="H301" s="128"/>
      <c r="I301" s="41"/>
      <c r="J301" s="129"/>
      <c r="K301" s="130"/>
      <c r="L301" s="13"/>
    </row>
    <row r="302" spans="1:12" ht="15" customHeight="1">
      <c r="A302" s="50"/>
      <c r="B302" s="35" t="s">
        <v>68</v>
      </c>
      <c r="C302" s="38"/>
      <c r="D302" s="128"/>
      <c r="E302" s="128"/>
      <c r="F302" s="128"/>
      <c r="G302" s="128"/>
      <c r="H302" s="128"/>
      <c r="I302" s="41"/>
      <c r="J302" s="129"/>
      <c r="K302" s="130"/>
      <c r="L302" s="13"/>
    </row>
    <row r="303" spans="1:12" ht="15" customHeight="1">
      <c r="A303" s="50"/>
      <c r="B303" s="35" t="s">
        <v>406</v>
      </c>
      <c r="C303" s="38"/>
      <c r="D303" s="128"/>
      <c r="E303" s="128" t="s">
        <v>407</v>
      </c>
      <c r="F303" s="128"/>
      <c r="G303" s="128"/>
      <c r="H303" s="128"/>
      <c r="I303" s="41"/>
      <c r="J303" s="129">
        <f>1*8.5*3.5</f>
        <v>29.75</v>
      </c>
      <c r="K303" s="130" t="s">
        <v>8</v>
      </c>
      <c r="L303" s="13"/>
    </row>
    <row r="304" spans="1:12" ht="15" customHeight="1">
      <c r="A304" s="50"/>
      <c r="B304" s="35" t="s">
        <v>148</v>
      </c>
      <c r="C304" s="38"/>
      <c r="D304" s="128"/>
      <c r="E304" s="128" t="s">
        <v>408</v>
      </c>
      <c r="F304" s="128"/>
      <c r="G304" s="128"/>
      <c r="H304" s="128"/>
      <c r="I304" s="41"/>
      <c r="J304" s="129">
        <f>1*11.75*7</f>
        <v>82.25</v>
      </c>
      <c r="K304" s="130" t="s">
        <v>8</v>
      </c>
      <c r="L304" s="13"/>
    </row>
    <row r="305" spans="1:12" ht="15" customHeight="1">
      <c r="A305" s="50"/>
      <c r="B305" s="35" t="s">
        <v>148</v>
      </c>
      <c r="C305" s="38"/>
      <c r="D305" s="128"/>
      <c r="E305" s="128" t="s">
        <v>409</v>
      </c>
      <c r="F305" s="128"/>
      <c r="G305" s="128"/>
      <c r="H305" s="128"/>
      <c r="I305" s="41"/>
      <c r="J305" s="129">
        <f>1*12.5*5.5</f>
        <v>68.75</v>
      </c>
      <c r="K305" s="130" t="s">
        <v>8</v>
      </c>
      <c r="L305" s="13"/>
    </row>
    <row r="306" spans="1:12" ht="15" customHeight="1">
      <c r="A306" s="50"/>
      <c r="B306" s="35"/>
      <c r="C306" s="38"/>
      <c r="D306" s="128"/>
      <c r="E306" s="128"/>
      <c r="F306" s="128"/>
      <c r="G306" s="128"/>
      <c r="H306" s="128"/>
      <c r="I306" s="41"/>
      <c r="J306" s="129">
        <f>SUM(J303:J305)</f>
        <v>180.75</v>
      </c>
      <c r="K306" s="130" t="s">
        <v>8</v>
      </c>
      <c r="L306" s="13"/>
    </row>
    <row r="307" spans="1:12" ht="15" customHeight="1">
      <c r="A307" s="50"/>
      <c r="B307" s="35"/>
      <c r="C307" s="38"/>
      <c r="D307" s="128"/>
      <c r="E307" s="128"/>
      <c r="F307" s="128"/>
      <c r="G307" s="128"/>
      <c r="H307" s="128"/>
      <c r="I307" s="41" t="s">
        <v>410</v>
      </c>
      <c r="J307" s="129">
        <f>J300-J306</f>
        <v>2568.75</v>
      </c>
      <c r="K307" s="130" t="s">
        <v>8</v>
      </c>
      <c r="L307" s="13"/>
    </row>
    <row r="308" spans="1:12" ht="15" customHeight="1">
      <c r="A308" s="50">
        <v>11</v>
      </c>
      <c r="B308" s="35" t="s">
        <v>411</v>
      </c>
      <c r="C308" s="38"/>
      <c r="D308" s="128"/>
      <c r="E308" s="128"/>
      <c r="F308" s="128"/>
      <c r="G308" s="128"/>
      <c r="H308" s="128"/>
      <c r="I308" s="41"/>
      <c r="J308" s="129"/>
      <c r="K308" s="130"/>
      <c r="L308" s="13"/>
    </row>
    <row r="309" spans="1:12" ht="15" customHeight="1">
      <c r="A309" s="50"/>
      <c r="B309" s="35" t="s">
        <v>412</v>
      </c>
      <c r="C309" s="38"/>
      <c r="D309" s="128"/>
      <c r="E309" s="128" t="s">
        <v>198</v>
      </c>
      <c r="F309" s="128"/>
      <c r="G309" s="128"/>
      <c r="H309" s="128"/>
      <c r="I309" s="41"/>
      <c r="J309" s="129">
        <f>2*12*16</f>
        <v>384</v>
      </c>
      <c r="K309" s="130" t="s">
        <v>8</v>
      </c>
      <c r="L309" s="13"/>
    </row>
    <row r="310" spans="1:12" ht="15" customHeight="1">
      <c r="A310" s="50"/>
      <c r="B310" s="35" t="s">
        <v>413</v>
      </c>
      <c r="C310" s="38"/>
      <c r="D310" s="128"/>
      <c r="E310" s="128" t="s">
        <v>424</v>
      </c>
      <c r="F310" s="128"/>
      <c r="G310" s="128"/>
      <c r="H310" s="128"/>
      <c r="I310" s="41"/>
      <c r="J310" s="129">
        <f>2*6*8.5</f>
        <v>102</v>
      </c>
      <c r="K310" s="130" t="s">
        <v>8</v>
      </c>
      <c r="L310" s="13"/>
    </row>
    <row r="311" spans="1:12" ht="15" customHeight="1">
      <c r="A311" s="50"/>
      <c r="B311" s="35" t="s">
        <v>414</v>
      </c>
      <c r="C311" s="38"/>
      <c r="D311" s="128"/>
      <c r="E311" s="128" t="s">
        <v>200</v>
      </c>
      <c r="F311" s="128"/>
      <c r="G311" s="128"/>
      <c r="H311" s="128"/>
      <c r="I311" s="41"/>
      <c r="J311" s="129">
        <f>2*6*7</f>
        <v>84</v>
      </c>
      <c r="K311" s="130" t="s">
        <v>8</v>
      </c>
      <c r="L311" s="13"/>
    </row>
    <row r="312" spans="1:12" ht="15" customHeight="1">
      <c r="A312" s="50"/>
      <c r="B312" s="35" t="s">
        <v>415</v>
      </c>
      <c r="C312" s="38"/>
      <c r="D312" s="128"/>
      <c r="E312" s="128" t="s">
        <v>425</v>
      </c>
      <c r="F312" s="128"/>
      <c r="G312" s="128"/>
      <c r="H312" s="128"/>
      <c r="I312" s="41"/>
      <c r="J312" s="129">
        <f>1*8*8</f>
        <v>64</v>
      </c>
      <c r="K312" s="130" t="s">
        <v>8</v>
      </c>
      <c r="L312" s="13"/>
    </row>
    <row r="313" spans="1:12" ht="15" customHeight="1">
      <c r="A313" s="50"/>
      <c r="B313" s="35" t="s">
        <v>416</v>
      </c>
      <c r="C313" s="38"/>
      <c r="D313" s="128"/>
      <c r="E313" s="128" t="s">
        <v>201</v>
      </c>
      <c r="F313" s="128"/>
      <c r="G313" s="128"/>
      <c r="H313" s="128"/>
      <c r="I313" s="41"/>
      <c r="J313" s="129">
        <f>1*8*4</f>
        <v>32</v>
      </c>
      <c r="K313" s="130" t="s">
        <v>8</v>
      </c>
      <c r="L313" s="13"/>
    </row>
    <row r="314" spans="1:12" ht="15" customHeight="1">
      <c r="A314" s="50"/>
      <c r="B314" s="35" t="s">
        <v>417</v>
      </c>
      <c r="C314" s="38"/>
      <c r="D314" s="128"/>
      <c r="E314" s="128" t="s">
        <v>202</v>
      </c>
      <c r="F314" s="128"/>
      <c r="G314" s="128"/>
      <c r="H314" s="128"/>
      <c r="I314" s="41"/>
      <c r="J314" s="129">
        <f>1*18.5*18</f>
        <v>333</v>
      </c>
      <c r="K314" s="130" t="s">
        <v>8</v>
      </c>
      <c r="L314" s="13"/>
    </row>
    <row r="315" spans="1:12" ht="15" customHeight="1">
      <c r="A315" s="50"/>
      <c r="B315" s="35" t="s">
        <v>418</v>
      </c>
      <c r="C315" s="38"/>
      <c r="D315" s="128"/>
      <c r="E315" s="128" t="s">
        <v>204</v>
      </c>
      <c r="F315" s="128"/>
      <c r="G315" s="128"/>
      <c r="H315" s="128"/>
      <c r="I315" s="41"/>
      <c r="J315" s="129">
        <f>1*16*10</f>
        <v>160</v>
      </c>
      <c r="K315" s="130" t="s">
        <v>8</v>
      </c>
      <c r="L315" s="13"/>
    </row>
    <row r="316" spans="1:12" ht="15" customHeight="1">
      <c r="A316" s="50"/>
      <c r="B316" s="35" t="s">
        <v>419</v>
      </c>
      <c r="C316" s="38"/>
      <c r="D316" s="128"/>
      <c r="E316" s="128" t="s">
        <v>205</v>
      </c>
      <c r="F316" s="128"/>
      <c r="G316" s="128"/>
      <c r="H316" s="128"/>
      <c r="I316" s="41"/>
      <c r="J316" s="129">
        <f>1*16*12</f>
        <v>192</v>
      </c>
      <c r="K316" s="130" t="s">
        <v>8</v>
      </c>
      <c r="L316" s="13"/>
    </row>
    <row r="317" spans="1:12" ht="15" customHeight="1">
      <c r="A317" s="50"/>
      <c r="B317" s="35" t="s">
        <v>420</v>
      </c>
      <c r="C317" s="38"/>
      <c r="D317" s="128"/>
      <c r="E317" s="128" t="s">
        <v>207</v>
      </c>
      <c r="F317" s="128"/>
      <c r="G317" s="128"/>
      <c r="H317" s="128"/>
      <c r="I317" s="41"/>
      <c r="J317" s="129">
        <f>1*16*18</f>
        <v>288</v>
      </c>
      <c r="K317" s="130" t="s">
        <v>8</v>
      </c>
      <c r="L317" s="13"/>
    </row>
    <row r="318" spans="1:12" ht="15" customHeight="1">
      <c r="A318" s="50"/>
      <c r="B318" s="35" t="s">
        <v>421</v>
      </c>
      <c r="C318" s="38"/>
      <c r="D318" s="128"/>
      <c r="E318" s="128" t="s">
        <v>206</v>
      </c>
      <c r="F318" s="128"/>
      <c r="G318" s="128"/>
      <c r="H318" s="128"/>
      <c r="I318" s="41"/>
      <c r="J318" s="129">
        <f>1*15*12</f>
        <v>180</v>
      </c>
      <c r="K318" s="130" t="s">
        <v>8</v>
      </c>
      <c r="L318" s="13"/>
    </row>
    <row r="319" spans="1:12" ht="15" customHeight="1">
      <c r="A319" s="50"/>
      <c r="B319" s="35" t="s">
        <v>422</v>
      </c>
      <c r="C319" s="38"/>
      <c r="D319" s="128"/>
      <c r="E319" s="128" t="s">
        <v>426</v>
      </c>
      <c r="F319" s="128"/>
      <c r="G319" s="128"/>
      <c r="H319" s="128"/>
      <c r="I319" s="41"/>
      <c r="J319" s="129">
        <f>1*6.5*6</f>
        <v>39</v>
      </c>
      <c r="K319" s="130" t="s">
        <v>8</v>
      </c>
      <c r="L319" s="13"/>
    </row>
    <row r="320" spans="1:12" ht="15" customHeight="1">
      <c r="A320" s="50"/>
      <c r="B320" s="35" t="s">
        <v>423</v>
      </c>
      <c r="C320" s="38"/>
      <c r="D320" s="128"/>
      <c r="E320" s="128" t="s">
        <v>427</v>
      </c>
      <c r="F320" s="128"/>
      <c r="G320" s="128"/>
      <c r="H320" s="128"/>
      <c r="I320" s="41"/>
      <c r="J320" s="129">
        <f>1*17*22</f>
        <v>374</v>
      </c>
      <c r="K320" s="130" t="s">
        <v>8</v>
      </c>
      <c r="L320" s="13"/>
    </row>
    <row r="321" spans="1:12" ht="15" customHeight="1">
      <c r="A321" s="50"/>
      <c r="B321" s="35"/>
      <c r="C321" s="38"/>
      <c r="D321" s="128"/>
      <c r="E321" s="128"/>
      <c r="F321" s="128"/>
      <c r="G321" s="128"/>
      <c r="H321" s="128"/>
      <c r="I321" s="41"/>
      <c r="J321" s="131">
        <f>SUM(J309:J320)</f>
        <v>2232</v>
      </c>
      <c r="K321" s="132" t="s">
        <v>8</v>
      </c>
      <c r="L321" s="13"/>
    </row>
    <row r="322" spans="1:12" ht="15" customHeight="1">
      <c r="A322" s="50"/>
      <c r="B322" s="35"/>
      <c r="C322" s="38"/>
      <c r="D322" s="128"/>
      <c r="E322" s="128"/>
      <c r="F322" s="128"/>
      <c r="G322" s="128"/>
      <c r="H322" s="128"/>
      <c r="I322" s="41"/>
      <c r="J322" s="129"/>
      <c r="K322" s="130"/>
      <c r="L322" s="13"/>
    </row>
    <row r="323" spans="1:12" ht="15" customHeight="1">
      <c r="A323" s="50">
        <v>12</v>
      </c>
      <c r="B323" s="35" t="s">
        <v>428</v>
      </c>
      <c r="C323" s="38"/>
      <c r="D323" s="128"/>
      <c r="E323" s="128"/>
      <c r="F323" s="128"/>
      <c r="G323" s="128"/>
      <c r="H323" s="128"/>
      <c r="I323" s="41"/>
      <c r="J323" s="129"/>
      <c r="K323" s="130"/>
      <c r="L323" s="13"/>
    </row>
    <row r="324" spans="1:12" ht="15.75">
      <c r="A324" s="50"/>
      <c r="B324" s="35"/>
      <c r="C324" s="38"/>
      <c r="D324" s="128"/>
      <c r="E324" s="128" t="s">
        <v>429</v>
      </c>
      <c r="F324" s="128"/>
      <c r="G324" s="128"/>
      <c r="H324" s="128"/>
      <c r="I324" s="41"/>
      <c r="J324" s="131">
        <f>J321</f>
        <v>2232</v>
      </c>
      <c r="K324" s="132" t="s">
        <v>8</v>
      </c>
    </row>
    <row r="325" spans="1:12" ht="15.75">
      <c r="A325" s="50"/>
      <c r="B325" s="35"/>
      <c r="C325" s="38"/>
      <c r="D325" s="128"/>
      <c r="E325" s="128"/>
      <c r="F325" s="128"/>
      <c r="G325" s="128"/>
      <c r="H325" s="128"/>
      <c r="I325" s="41"/>
      <c r="J325" s="129"/>
      <c r="K325" s="130"/>
    </row>
    <row r="326" spans="1:12" ht="15.75">
      <c r="A326" s="50">
        <v>13</v>
      </c>
      <c r="B326" s="35" t="s">
        <v>430</v>
      </c>
      <c r="C326" s="38"/>
      <c r="D326" s="128"/>
      <c r="E326" s="128"/>
      <c r="F326" s="128"/>
      <c r="G326" s="128"/>
      <c r="H326" s="128"/>
      <c r="I326" s="41"/>
      <c r="J326" s="129"/>
      <c r="K326" s="130"/>
    </row>
    <row r="327" spans="1:12" ht="15.75">
      <c r="A327" s="50"/>
      <c r="B327" s="35"/>
      <c r="C327" s="38"/>
      <c r="D327" s="128"/>
      <c r="E327" s="128" t="s">
        <v>431</v>
      </c>
      <c r="F327" s="128"/>
      <c r="G327" s="128"/>
      <c r="H327" s="128"/>
      <c r="I327" s="41"/>
      <c r="J327" s="131">
        <f>J239</f>
        <v>4314</v>
      </c>
      <c r="K327" s="132" t="s">
        <v>8</v>
      </c>
    </row>
    <row r="328" spans="1:12" ht="15.75">
      <c r="A328" s="50"/>
      <c r="B328" s="35"/>
      <c r="C328" s="38"/>
      <c r="D328" s="128"/>
      <c r="E328" s="128"/>
      <c r="F328" s="128"/>
      <c r="G328" s="128"/>
      <c r="H328" s="128"/>
      <c r="I328" s="41"/>
      <c r="J328" s="129"/>
      <c r="K328" s="130"/>
    </row>
    <row r="329" spans="1:12" ht="15.75">
      <c r="A329" s="50">
        <v>14</v>
      </c>
      <c r="B329" s="35" t="s">
        <v>432</v>
      </c>
      <c r="C329" s="38"/>
      <c r="D329" s="128"/>
      <c r="E329" s="128"/>
      <c r="F329" s="128"/>
      <c r="G329" s="128"/>
      <c r="H329" s="128"/>
      <c r="I329" s="41"/>
      <c r="J329" s="129"/>
      <c r="K329" s="130"/>
    </row>
    <row r="330" spans="1:12" ht="15.75">
      <c r="A330" s="50"/>
      <c r="B330" s="35"/>
      <c r="C330" s="38"/>
      <c r="D330" s="128"/>
      <c r="E330" s="128" t="s">
        <v>433</v>
      </c>
      <c r="F330" s="128"/>
      <c r="G330" s="128"/>
      <c r="H330" s="128"/>
      <c r="I330" s="41"/>
      <c r="J330" s="129">
        <f>J265</f>
        <v>2520.5</v>
      </c>
      <c r="K330" s="130" t="s">
        <v>8</v>
      </c>
    </row>
    <row r="331" spans="1:12" ht="15.75">
      <c r="A331" s="50"/>
      <c r="B331" s="35"/>
      <c r="C331" s="38"/>
      <c r="D331" s="128"/>
      <c r="E331" s="128"/>
      <c r="F331" s="128"/>
      <c r="G331" s="128"/>
      <c r="H331" s="128"/>
      <c r="I331" s="41"/>
      <c r="J331" s="129"/>
      <c r="K331" s="130"/>
    </row>
    <row r="332" spans="1:12" ht="15.75">
      <c r="A332" s="50">
        <v>15</v>
      </c>
      <c r="B332" s="35" t="s">
        <v>434</v>
      </c>
      <c r="C332" s="38"/>
      <c r="D332" s="128"/>
      <c r="E332" s="128"/>
      <c r="F332" s="128"/>
      <c r="G332" s="128"/>
      <c r="H332" s="128"/>
      <c r="I332" s="41"/>
      <c r="J332" s="129"/>
      <c r="K332" s="130"/>
    </row>
    <row r="333" spans="1:12" ht="15.75">
      <c r="A333" s="50"/>
      <c r="B333" s="35" t="s">
        <v>320</v>
      </c>
      <c r="C333" s="38"/>
      <c r="D333" s="128"/>
      <c r="E333" s="128" t="s">
        <v>435</v>
      </c>
      <c r="F333" s="128"/>
      <c r="G333" s="128"/>
      <c r="H333" s="128"/>
      <c r="I333" s="41"/>
      <c r="J333" s="129">
        <f>3*2*5*7</f>
        <v>210</v>
      </c>
      <c r="K333" s="130" t="s">
        <v>392</v>
      </c>
    </row>
    <row r="334" spans="1:12" ht="15.75">
      <c r="A334" s="50"/>
      <c r="B334" s="35" t="s">
        <v>321</v>
      </c>
      <c r="C334" s="38"/>
      <c r="D334" s="128"/>
      <c r="E334" s="128" t="s">
        <v>349</v>
      </c>
      <c r="F334" s="128"/>
      <c r="G334" s="128"/>
      <c r="H334" s="128"/>
      <c r="I334" s="41"/>
      <c r="J334" s="129">
        <f>3*2*3.5*7</f>
        <v>147</v>
      </c>
      <c r="K334" s="130" t="s">
        <v>392</v>
      </c>
    </row>
    <row r="335" spans="1:12" ht="15.75">
      <c r="A335" s="50"/>
      <c r="B335" s="35" t="s">
        <v>322</v>
      </c>
      <c r="C335" s="38"/>
      <c r="D335" s="128"/>
      <c r="E335" s="128" t="s">
        <v>390</v>
      </c>
      <c r="F335" s="128"/>
      <c r="G335" s="128"/>
      <c r="H335" s="128"/>
      <c r="I335" s="41"/>
      <c r="J335" s="129">
        <f>3*3*7</f>
        <v>63</v>
      </c>
      <c r="K335" s="130" t="s">
        <v>392</v>
      </c>
    </row>
    <row r="336" spans="1:12" ht="15.75">
      <c r="A336" s="50"/>
      <c r="B336" s="35" t="s">
        <v>323</v>
      </c>
      <c r="C336" s="38"/>
      <c r="D336" s="128"/>
      <c r="E336" s="128" t="s">
        <v>391</v>
      </c>
      <c r="F336" s="128"/>
      <c r="G336" s="128"/>
      <c r="H336" s="128"/>
      <c r="I336" s="41"/>
      <c r="J336" s="129">
        <f>5*2.5*7</f>
        <v>87.5</v>
      </c>
      <c r="K336" s="130" t="s">
        <v>392</v>
      </c>
    </row>
    <row r="337" spans="1:11" ht="15.75">
      <c r="A337" s="50"/>
      <c r="B337" s="35"/>
      <c r="C337" s="38"/>
      <c r="D337" s="128"/>
      <c r="E337" s="128"/>
      <c r="F337" s="128"/>
      <c r="G337" s="128"/>
      <c r="H337" s="128"/>
      <c r="I337" s="41"/>
      <c r="J337" s="131">
        <f>SUM(J333:J336)</f>
        <v>507.5</v>
      </c>
      <c r="K337" s="132" t="s">
        <v>392</v>
      </c>
    </row>
    <row r="338" spans="1:11" ht="15.75">
      <c r="A338" s="50"/>
      <c r="B338" s="35"/>
      <c r="C338" s="38"/>
      <c r="D338" s="128"/>
      <c r="E338" s="128"/>
      <c r="F338" s="128"/>
      <c r="G338" s="128"/>
      <c r="H338" s="128"/>
      <c r="I338" s="41"/>
      <c r="J338" s="129"/>
      <c r="K338" s="130"/>
    </row>
    <row r="339" spans="1:11" ht="15.75">
      <c r="A339" s="50"/>
      <c r="B339" s="35" t="s">
        <v>436</v>
      </c>
      <c r="C339" s="38"/>
      <c r="D339" s="128"/>
      <c r="E339" s="128"/>
      <c r="F339" s="128"/>
      <c r="G339" s="128"/>
      <c r="H339" s="128"/>
      <c r="I339" s="41"/>
      <c r="J339" s="129"/>
      <c r="K339" s="130"/>
    </row>
    <row r="340" spans="1:11" ht="15.75">
      <c r="A340" s="50">
        <v>1</v>
      </c>
      <c r="B340" s="35" t="s">
        <v>437</v>
      </c>
      <c r="C340" s="38"/>
      <c r="D340" s="128"/>
      <c r="E340" s="128"/>
      <c r="F340" s="128"/>
      <c r="G340" s="128"/>
      <c r="H340" s="128"/>
      <c r="I340" s="41"/>
      <c r="J340" s="129"/>
      <c r="K340" s="130"/>
    </row>
    <row r="341" spans="1:11" ht="15.75">
      <c r="A341" s="50"/>
      <c r="B341" s="35" t="s">
        <v>438</v>
      </c>
      <c r="C341" s="38"/>
      <c r="D341" s="128"/>
      <c r="E341" s="128"/>
      <c r="F341" s="128"/>
      <c r="G341" s="128"/>
      <c r="H341" s="128"/>
      <c r="I341" s="41"/>
      <c r="J341" s="129"/>
      <c r="K341" s="130"/>
    </row>
    <row r="342" spans="1:11" ht="15.75">
      <c r="A342" s="50"/>
      <c r="B342" s="35" t="s">
        <v>325</v>
      </c>
      <c r="C342" s="38"/>
      <c r="D342" s="128"/>
      <c r="E342" s="128" t="s">
        <v>376</v>
      </c>
      <c r="F342" s="128"/>
      <c r="G342" s="128"/>
      <c r="H342" s="128"/>
      <c r="I342" s="41"/>
      <c r="J342" s="129">
        <f>8*6*4</f>
        <v>192</v>
      </c>
      <c r="K342" s="130" t="s">
        <v>8</v>
      </c>
    </row>
    <row r="343" spans="1:11" ht="15.75">
      <c r="A343" s="50"/>
      <c r="B343" s="35" t="s">
        <v>326</v>
      </c>
      <c r="C343" s="38"/>
      <c r="D343" s="128"/>
      <c r="E343" s="128" t="s">
        <v>377</v>
      </c>
      <c r="F343" s="128"/>
      <c r="G343" s="128"/>
      <c r="H343" s="128"/>
      <c r="I343" s="41"/>
      <c r="J343" s="129">
        <f>2*3.5*4</f>
        <v>28</v>
      </c>
      <c r="K343" s="130" t="s">
        <v>8</v>
      </c>
    </row>
    <row r="344" spans="1:11" ht="15.75">
      <c r="A344" s="50"/>
      <c r="B344" s="35" t="s">
        <v>327</v>
      </c>
      <c r="C344" s="38"/>
      <c r="D344" s="128"/>
      <c r="E344" s="128" t="s">
        <v>378</v>
      </c>
      <c r="F344" s="128"/>
      <c r="G344" s="128"/>
      <c r="H344" s="128"/>
      <c r="I344" s="41"/>
      <c r="J344" s="129">
        <f>5*2*1.5</f>
        <v>15</v>
      </c>
      <c r="K344" s="130" t="s">
        <v>8</v>
      </c>
    </row>
    <row r="345" spans="1:11" ht="15.75">
      <c r="A345" s="50"/>
      <c r="B345" s="35"/>
      <c r="C345" s="38"/>
      <c r="D345" s="128"/>
      <c r="E345" s="128"/>
      <c r="F345" s="128"/>
      <c r="G345" s="128"/>
      <c r="H345" s="128"/>
      <c r="I345" s="41"/>
      <c r="J345" s="131">
        <f>SUM(J342:J344)</f>
        <v>235</v>
      </c>
      <c r="K345" s="132" t="s">
        <v>8</v>
      </c>
    </row>
    <row r="346" spans="1:11" ht="15.75">
      <c r="A346" s="50"/>
      <c r="B346" s="35"/>
      <c r="C346" s="38"/>
      <c r="D346" s="128"/>
      <c r="E346" s="128"/>
      <c r="F346" s="128"/>
      <c r="G346" s="128"/>
      <c r="H346" s="128"/>
      <c r="I346" s="41"/>
      <c r="J346" s="129"/>
      <c r="K346" s="130"/>
    </row>
    <row r="347" spans="1:11" ht="15.75">
      <c r="A347" s="50">
        <v>2</v>
      </c>
      <c r="B347" s="35" t="s">
        <v>439</v>
      </c>
      <c r="C347" s="38"/>
      <c r="D347" s="128"/>
      <c r="E347" s="128"/>
      <c r="F347" s="128"/>
      <c r="G347" s="128"/>
      <c r="H347" s="128"/>
      <c r="I347" s="41"/>
      <c r="J347" s="129"/>
      <c r="K347" s="130"/>
    </row>
    <row r="348" spans="1:11" ht="15.75">
      <c r="A348" s="50"/>
      <c r="B348" s="35" t="s">
        <v>440</v>
      </c>
      <c r="C348" s="38"/>
      <c r="D348" s="128"/>
      <c r="E348" s="128" t="s">
        <v>442</v>
      </c>
      <c r="F348" s="128"/>
      <c r="G348" s="128"/>
      <c r="H348" s="128"/>
      <c r="I348" s="41"/>
      <c r="J348" s="129">
        <f>2*1*6*8.5</f>
        <v>102</v>
      </c>
      <c r="K348" s="130" t="s">
        <v>8</v>
      </c>
    </row>
    <row r="349" spans="1:11" ht="15.75">
      <c r="A349" s="50"/>
      <c r="B349" s="35" t="s">
        <v>441</v>
      </c>
      <c r="C349" s="38"/>
      <c r="D349" s="128"/>
      <c r="E349" s="128" t="s">
        <v>443</v>
      </c>
      <c r="F349" s="128"/>
      <c r="G349" s="128"/>
      <c r="H349" s="128"/>
      <c r="I349" s="41"/>
      <c r="J349" s="129">
        <f>2*2*(6+8.5)*7</f>
        <v>406</v>
      </c>
      <c r="K349" s="130" t="s">
        <v>8</v>
      </c>
    </row>
    <row r="350" spans="1:11" ht="15.75">
      <c r="A350" s="50"/>
      <c r="B350" s="35" t="s">
        <v>440</v>
      </c>
      <c r="C350" s="38"/>
      <c r="D350" s="128"/>
      <c r="E350" s="128" t="s">
        <v>444</v>
      </c>
      <c r="F350" s="128"/>
      <c r="G350" s="128"/>
      <c r="H350" s="128"/>
      <c r="I350" s="41"/>
      <c r="J350" s="129">
        <f>1*1*8*4</f>
        <v>32</v>
      </c>
      <c r="K350" s="130" t="s">
        <v>8</v>
      </c>
    </row>
    <row r="351" spans="1:11" ht="15.75">
      <c r="A351" s="50"/>
      <c r="B351" s="35" t="s">
        <v>441</v>
      </c>
      <c r="C351" s="38"/>
      <c r="D351" s="128"/>
      <c r="E351" s="128" t="s">
        <v>341</v>
      </c>
      <c r="F351" s="128"/>
      <c r="G351" s="128"/>
      <c r="H351" s="128"/>
      <c r="I351" s="41"/>
      <c r="J351" s="129">
        <f>1*2*(8+4)*5</f>
        <v>120</v>
      </c>
      <c r="K351" s="130" t="s">
        <v>8</v>
      </c>
    </row>
    <row r="352" spans="1:11" ht="15.75">
      <c r="A352" s="50"/>
      <c r="B352" s="35" t="s">
        <v>440</v>
      </c>
      <c r="C352" s="38"/>
      <c r="D352" s="128"/>
      <c r="E352" s="128" t="s">
        <v>445</v>
      </c>
      <c r="F352" s="128"/>
      <c r="G352" s="128"/>
      <c r="H352" s="128"/>
      <c r="I352" s="41"/>
      <c r="J352" s="129">
        <f>1*1*6.5*6</f>
        <v>39</v>
      </c>
      <c r="K352" s="130" t="s">
        <v>8</v>
      </c>
    </row>
    <row r="353" spans="1:11" ht="15.75">
      <c r="A353" s="50"/>
      <c r="B353" s="35" t="s">
        <v>441</v>
      </c>
      <c r="C353" s="38"/>
      <c r="D353" s="128"/>
      <c r="E353" s="128" t="s">
        <v>446</v>
      </c>
      <c r="F353" s="128"/>
      <c r="G353" s="128"/>
      <c r="H353" s="128"/>
      <c r="I353" s="41"/>
      <c r="J353" s="129">
        <f>1*2*(6.5+6)*7</f>
        <v>175</v>
      </c>
      <c r="K353" s="130" t="s">
        <v>8</v>
      </c>
    </row>
    <row r="354" spans="1:11" ht="15.75">
      <c r="A354" s="50"/>
      <c r="B354" s="35" t="s">
        <v>440</v>
      </c>
      <c r="C354" s="38"/>
      <c r="D354" s="128"/>
      <c r="E354" s="128" t="s">
        <v>447</v>
      </c>
      <c r="F354" s="128"/>
      <c r="G354" s="128"/>
      <c r="H354" s="128"/>
      <c r="I354" s="41"/>
      <c r="J354" s="129">
        <f>1*1*16*10</f>
        <v>160</v>
      </c>
      <c r="K354" s="130" t="s">
        <v>8</v>
      </c>
    </row>
    <row r="355" spans="1:11" ht="15.75">
      <c r="A355" s="50"/>
      <c r="B355" s="35" t="s">
        <v>441</v>
      </c>
      <c r="C355" s="38"/>
      <c r="D355" s="128"/>
      <c r="E355" s="128" t="s">
        <v>343</v>
      </c>
      <c r="F355" s="128"/>
      <c r="G355" s="128"/>
      <c r="H355" s="128"/>
      <c r="I355" s="41"/>
      <c r="J355" s="129">
        <f>1*2*(16+10)*5</f>
        <v>260</v>
      </c>
      <c r="K355" s="130" t="s">
        <v>8</v>
      </c>
    </row>
    <row r="356" spans="1:11" ht="15.75">
      <c r="A356" s="50"/>
      <c r="B356" s="35"/>
      <c r="C356" s="38"/>
      <c r="D356" s="128"/>
      <c r="E356" s="128"/>
      <c r="F356" s="128"/>
      <c r="G356" s="128"/>
      <c r="H356" s="128"/>
      <c r="I356" s="41"/>
      <c r="J356" s="131">
        <f>SUM(J348:J355)</f>
        <v>1294</v>
      </c>
      <c r="K356" s="132" t="s">
        <v>8</v>
      </c>
    </row>
    <row r="357" spans="1:11" ht="15.75">
      <c r="A357" s="50"/>
      <c r="B357" s="35"/>
      <c r="C357" s="38"/>
      <c r="D357" s="128"/>
      <c r="E357" s="128"/>
      <c r="F357" s="128"/>
      <c r="G357" s="128"/>
      <c r="H357" s="128"/>
      <c r="I357" s="41"/>
      <c r="J357" s="129"/>
      <c r="K357" s="130"/>
    </row>
    <row r="358" spans="1:11" ht="15.75">
      <c r="A358" s="50"/>
      <c r="B358" s="35" t="s">
        <v>68</v>
      </c>
      <c r="C358" s="38"/>
      <c r="D358" s="128"/>
      <c r="E358" s="128"/>
      <c r="F358" s="128"/>
      <c r="G358" s="128"/>
      <c r="H358" s="128"/>
      <c r="I358" s="41"/>
      <c r="J358" s="129"/>
      <c r="K358" s="130"/>
    </row>
    <row r="359" spans="1:11" ht="15.75">
      <c r="A359" s="50"/>
      <c r="B359" s="35" t="s">
        <v>323</v>
      </c>
      <c r="C359" s="38"/>
      <c r="D359" s="128"/>
      <c r="E359" s="128" t="s">
        <v>448</v>
      </c>
      <c r="F359" s="128"/>
      <c r="G359" s="128"/>
      <c r="H359" s="128"/>
      <c r="I359" s="41"/>
      <c r="J359" s="129">
        <f>3*1*2.5*7</f>
        <v>52.5</v>
      </c>
      <c r="K359" s="130" t="s">
        <v>8</v>
      </c>
    </row>
    <row r="360" spans="1:11" ht="15.75">
      <c r="A360" s="50"/>
      <c r="B360" s="35" t="s">
        <v>323</v>
      </c>
      <c r="C360" s="38"/>
      <c r="D360" s="128"/>
      <c r="E360" s="128" t="s">
        <v>449</v>
      </c>
      <c r="F360" s="128"/>
      <c r="G360" s="128"/>
      <c r="H360" s="128"/>
      <c r="I360" s="41"/>
      <c r="J360" s="129">
        <f>2*1*2.5*5</f>
        <v>25</v>
      </c>
      <c r="K360" s="130" t="s">
        <v>8</v>
      </c>
    </row>
    <row r="361" spans="1:11" ht="15.75">
      <c r="A361" s="50"/>
      <c r="B361" s="35"/>
      <c r="C361" s="38"/>
      <c r="D361" s="128"/>
      <c r="E361" s="128"/>
      <c r="F361" s="128"/>
      <c r="G361" s="128"/>
      <c r="H361" s="128"/>
      <c r="I361" s="41"/>
      <c r="J361" s="131">
        <f>SUM(J359:J360)</f>
        <v>77.5</v>
      </c>
      <c r="K361" s="132" t="s">
        <v>8</v>
      </c>
    </row>
    <row r="362" spans="1:11" ht="15.75">
      <c r="A362" s="50"/>
      <c r="B362" s="35"/>
      <c r="C362" s="38"/>
      <c r="D362" s="128"/>
      <c r="E362" s="128"/>
      <c r="F362" s="128"/>
      <c r="G362" s="128"/>
      <c r="H362" s="128"/>
      <c r="I362" s="41"/>
      <c r="J362" s="129"/>
      <c r="K362" s="130"/>
    </row>
    <row r="363" spans="1:11" ht="15.75">
      <c r="A363" s="50"/>
      <c r="B363" s="35"/>
      <c r="C363" s="38"/>
      <c r="D363" s="128"/>
      <c r="E363" s="128"/>
      <c r="F363" s="128"/>
      <c r="G363" s="128"/>
      <c r="H363" s="128"/>
      <c r="I363" s="41"/>
      <c r="J363" s="131">
        <f>J356-J361</f>
        <v>1216.5</v>
      </c>
      <c r="K363" s="132" t="s">
        <v>8</v>
      </c>
    </row>
    <row r="364" spans="1:11" ht="15.75">
      <c r="A364" s="50"/>
      <c r="B364" s="35"/>
      <c r="C364" s="38"/>
      <c r="D364" s="128"/>
      <c r="E364" s="128"/>
      <c r="F364" s="128"/>
      <c r="G364" s="128"/>
      <c r="H364" s="128"/>
      <c r="I364" s="41"/>
      <c r="J364" s="131"/>
      <c r="K364" s="132"/>
    </row>
    <row r="365" spans="1:11">
      <c r="A365" s="50">
        <v>3</v>
      </c>
      <c r="B365" s="178" t="s">
        <v>839</v>
      </c>
      <c r="C365" s="38"/>
      <c r="D365" s="128"/>
      <c r="E365" s="128"/>
      <c r="F365" s="128"/>
      <c r="G365" s="128"/>
      <c r="H365" s="128"/>
      <c r="I365" s="41"/>
      <c r="J365" s="129"/>
      <c r="K365" s="130"/>
    </row>
    <row r="366" spans="1:11">
      <c r="B366" s="178" t="s">
        <v>840</v>
      </c>
      <c r="C366" s="38"/>
      <c r="D366" s="128"/>
      <c r="E366" s="128"/>
      <c r="F366" s="128"/>
      <c r="G366" s="128"/>
      <c r="H366" s="128"/>
      <c r="I366" s="41"/>
      <c r="J366" s="129"/>
      <c r="K366" s="130"/>
    </row>
    <row r="367" spans="1:11" ht="15.75">
      <c r="A367" s="50"/>
      <c r="B367" s="35" t="s">
        <v>197</v>
      </c>
      <c r="C367" s="38"/>
      <c r="D367" s="128"/>
      <c r="E367" s="128" t="s">
        <v>452</v>
      </c>
      <c r="F367" s="128"/>
      <c r="G367" s="128"/>
      <c r="H367" s="128"/>
      <c r="I367" s="41"/>
      <c r="J367" s="129">
        <f>2*1*12*16</f>
        <v>384</v>
      </c>
      <c r="K367" s="130" t="s">
        <v>8</v>
      </c>
    </row>
    <row r="368" spans="1:11" ht="15.75">
      <c r="A368" s="50"/>
      <c r="B368" s="35" t="s">
        <v>148</v>
      </c>
      <c r="C368" s="38"/>
      <c r="D368" s="128"/>
      <c r="E368" s="128" t="s">
        <v>453</v>
      </c>
      <c r="F368" s="128"/>
      <c r="G368" s="128"/>
      <c r="H368" s="128"/>
      <c r="I368" s="41"/>
      <c r="J368" s="129">
        <f>2*2*(12+16)*0.5</f>
        <v>56</v>
      </c>
      <c r="K368" s="130" t="s">
        <v>8</v>
      </c>
    </row>
    <row r="369" spans="1:11" ht="15.75">
      <c r="A369" s="50"/>
      <c r="B369" s="35" t="s">
        <v>450</v>
      </c>
      <c r="C369" s="38"/>
      <c r="D369" s="128"/>
      <c r="E369" s="128" t="s">
        <v>454</v>
      </c>
      <c r="F369" s="128"/>
      <c r="G369" s="128"/>
      <c r="H369" s="128"/>
      <c r="I369" s="41"/>
      <c r="J369" s="129">
        <f>2*1*6*7</f>
        <v>84</v>
      </c>
      <c r="K369" s="130" t="s">
        <v>8</v>
      </c>
    </row>
    <row r="370" spans="1:11" ht="15.75">
      <c r="A370" s="50"/>
      <c r="B370" s="35" t="s">
        <v>441</v>
      </c>
      <c r="C370" s="38"/>
      <c r="D370" s="128"/>
      <c r="E370" s="128" t="s">
        <v>455</v>
      </c>
      <c r="F370" s="128"/>
      <c r="G370" s="128"/>
      <c r="H370" s="128"/>
      <c r="I370" s="41"/>
      <c r="J370" s="129">
        <f>2*2*(6+7)*0.5</f>
        <v>26</v>
      </c>
      <c r="K370" s="130" t="s">
        <v>8</v>
      </c>
    </row>
    <row r="371" spans="1:11" ht="15.75">
      <c r="A371" s="50"/>
      <c r="B371" s="35" t="s">
        <v>451</v>
      </c>
      <c r="C371" s="38"/>
      <c r="D371" s="128"/>
      <c r="E371" s="128" t="s">
        <v>456</v>
      </c>
      <c r="F371" s="128"/>
      <c r="G371" s="128"/>
      <c r="H371" s="128"/>
      <c r="I371" s="41"/>
      <c r="J371" s="129">
        <f>1*1*8*8</f>
        <v>64</v>
      </c>
      <c r="K371" s="130" t="s">
        <v>8</v>
      </c>
    </row>
    <row r="372" spans="1:11" ht="15.75">
      <c r="A372" s="50"/>
      <c r="B372" s="35" t="s">
        <v>441</v>
      </c>
      <c r="C372" s="38"/>
      <c r="D372" s="128"/>
      <c r="E372" s="128" t="s">
        <v>457</v>
      </c>
      <c r="F372" s="128"/>
      <c r="G372" s="128"/>
      <c r="H372" s="128"/>
      <c r="I372" s="41"/>
      <c r="J372" s="129">
        <f>1*2*(8+8)*0.5</f>
        <v>16</v>
      </c>
      <c r="K372" s="130" t="s">
        <v>8</v>
      </c>
    </row>
    <row r="373" spans="1:11" ht="15.75">
      <c r="A373" s="50"/>
      <c r="B373" s="35" t="s">
        <v>458</v>
      </c>
      <c r="C373" s="38"/>
      <c r="D373" s="128"/>
      <c r="E373" s="128" t="s">
        <v>469</v>
      </c>
      <c r="F373" s="128"/>
      <c r="G373" s="128"/>
      <c r="H373" s="128"/>
      <c r="I373" s="41"/>
      <c r="J373" s="129">
        <f>1*1*16*12</f>
        <v>192</v>
      </c>
      <c r="K373" s="130" t="s">
        <v>8</v>
      </c>
    </row>
    <row r="374" spans="1:11" ht="15.75">
      <c r="A374" s="50"/>
      <c r="B374" s="35" t="s">
        <v>441</v>
      </c>
      <c r="C374" s="38"/>
      <c r="D374" s="128"/>
      <c r="E374" s="128" t="s">
        <v>470</v>
      </c>
      <c r="F374" s="128"/>
      <c r="G374" s="128"/>
      <c r="H374" s="128"/>
      <c r="I374" s="41"/>
      <c r="J374" s="129">
        <f>1*2*(16+12)*0.5</f>
        <v>28</v>
      </c>
      <c r="K374" s="130" t="s">
        <v>8</v>
      </c>
    </row>
    <row r="375" spans="1:11" ht="15.75">
      <c r="A375" s="50"/>
      <c r="B375" s="35" t="s">
        <v>459</v>
      </c>
      <c r="C375" s="38"/>
      <c r="D375" s="128"/>
      <c r="E375" s="128" t="s">
        <v>460</v>
      </c>
      <c r="F375" s="128"/>
      <c r="G375" s="128"/>
      <c r="H375" s="128"/>
      <c r="I375" s="41"/>
      <c r="J375" s="129">
        <f>1*1*16*18</f>
        <v>288</v>
      </c>
      <c r="K375" s="130" t="s">
        <v>8</v>
      </c>
    </row>
    <row r="376" spans="1:11" ht="15.75">
      <c r="A376" s="50"/>
      <c r="B376" s="35" t="s">
        <v>441</v>
      </c>
      <c r="C376" s="38"/>
      <c r="D376" s="128"/>
      <c r="E376" s="128" t="s">
        <v>461</v>
      </c>
      <c r="F376" s="128"/>
      <c r="G376" s="128"/>
      <c r="H376" s="128"/>
      <c r="I376" s="41"/>
      <c r="J376" s="129">
        <f>1*2*(16+18)*0.5</f>
        <v>34</v>
      </c>
      <c r="K376" s="130" t="s">
        <v>8</v>
      </c>
    </row>
    <row r="377" spans="1:11" ht="15.75">
      <c r="A377" s="50"/>
      <c r="B377" s="35" t="s">
        <v>471</v>
      </c>
      <c r="C377" s="38"/>
      <c r="D377" s="128"/>
      <c r="E377" s="128" t="s">
        <v>462</v>
      </c>
      <c r="F377" s="128"/>
      <c r="G377" s="128"/>
      <c r="H377" s="128"/>
      <c r="I377" s="41"/>
      <c r="J377" s="129">
        <f>1*1*18.5*22.5</f>
        <v>416.25</v>
      </c>
      <c r="K377" s="130" t="s">
        <v>8</v>
      </c>
    </row>
    <row r="378" spans="1:11" ht="15.75">
      <c r="A378" s="50"/>
      <c r="B378" s="35" t="s">
        <v>441</v>
      </c>
      <c r="C378" s="38"/>
      <c r="D378" s="128"/>
      <c r="E378" s="128" t="s">
        <v>463</v>
      </c>
      <c r="F378" s="128"/>
      <c r="G378" s="128"/>
      <c r="H378" s="128"/>
      <c r="I378" s="41"/>
      <c r="J378" s="129">
        <f>1*1*6*18</f>
        <v>108</v>
      </c>
      <c r="K378" s="130" t="s">
        <v>8</v>
      </c>
    </row>
    <row r="379" spans="1:11" ht="15.75">
      <c r="A379" s="50"/>
      <c r="B379" s="35" t="s">
        <v>472</v>
      </c>
      <c r="C379" s="38"/>
      <c r="D379" s="128"/>
      <c r="E379" s="128" t="s">
        <v>464</v>
      </c>
      <c r="F379" s="128"/>
      <c r="G379" s="128"/>
      <c r="H379" s="128"/>
      <c r="I379" s="41"/>
      <c r="J379" s="129">
        <f>1*2*(18.5+22.5)*0.5</f>
        <v>41</v>
      </c>
      <c r="K379" s="130" t="s">
        <v>8</v>
      </c>
    </row>
    <row r="380" spans="1:11" ht="15.75">
      <c r="A380" s="50"/>
      <c r="B380" s="35" t="s">
        <v>473</v>
      </c>
      <c r="C380" s="38"/>
      <c r="D380" s="128"/>
      <c r="E380" s="128" t="s">
        <v>465</v>
      </c>
      <c r="F380" s="128"/>
      <c r="G380" s="128"/>
      <c r="H380" s="128"/>
      <c r="I380" s="41"/>
      <c r="J380" s="129">
        <f>1*1*12*15</f>
        <v>180</v>
      </c>
      <c r="K380" s="130" t="s">
        <v>8</v>
      </c>
    </row>
    <row r="381" spans="1:11" ht="15.75">
      <c r="A381" s="50"/>
      <c r="B381" s="35" t="s">
        <v>441</v>
      </c>
      <c r="C381" s="38"/>
      <c r="D381" s="128"/>
      <c r="E381" s="128" t="s">
        <v>466</v>
      </c>
      <c r="F381" s="128"/>
      <c r="G381" s="128"/>
      <c r="H381" s="128"/>
      <c r="I381" s="41"/>
      <c r="J381" s="129">
        <f>1*2*(12+15)*0.5</f>
        <v>27</v>
      </c>
      <c r="K381" s="130" t="s">
        <v>8</v>
      </c>
    </row>
    <row r="382" spans="1:11" ht="15.75">
      <c r="A382" s="50"/>
      <c r="B382" s="35" t="s">
        <v>474</v>
      </c>
      <c r="C382" s="38"/>
      <c r="D382" s="128"/>
      <c r="E382" s="128" t="s">
        <v>467</v>
      </c>
      <c r="F382" s="128"/>
      <c r="G382" s="128"/>
      <c r="H382" s="128"/>
      <c r="I382" s="41"/>
      <c r="J382" s="129">
        <f>1*1*17.5*7</f>
        <v>122.5</v>
      </c>
      <c r="K382" s="130" t="s">
        <v>8</v>
      </c>
    </row>
    <row r="383" spans="1:11" ht="15.75">
      <c r="A383" s="50"/>
      <c r="B383" s="35" t="s">
        <v>475</v>
      </c>
      <c r="C383" s="38"/>
      <c r="D383" s="128"/>
      <c r="E383" s="128" t="s">
        <v>468</v>
      </c>
      <c r="F383" s="128"/>
      <c r="G383" s="128"/>
      <c r="H383" s="128"/>
      <c r="I383" s="41"/>
      <c r="J383" s="129">
        <f>5*1*17.5*1.5</f>
        <v>131.25</v>
      </c>
      <c r="K383" s="130" t="s">
        <v>8</v>
      </c>
    </row>
    <row r="384" spans="1:11" ht="15.75">
      <c r="A384" s="50"/>
      <c r="B384" s="35"/>
      <c r="C384" s="38"/>
      <c r="D384" s="128"/>
      <c r="E384" s="128"/>
      <c r="F384" s="128"/>
      <c r="G384" s="128"/>
      <c r="H384" s="128"/>
      <c r="I384" s="41"/>
      <c r="J384" s="131">
        <f>SUM(J367:J383)</f>
        <v>2198</v>
      </c>
      <c r="K384" s="132" t="s">
        <v>8</v>
      </c>
    </row>
    <row r="385" spans="1:11" ht="15.75">
      <c r="A385" s="50"/>
      <c r="B385" s="35"/>
      <c r="C385" s="38"/>
      <c r="D385" s="128"/>
      <c r="E385" s="128"/>
      <c r="F385" s="128"/>
      <c r="G385" s="128"/>
      <c r="H385" s="128"/>
      <c r="I385" s="41"/>
      <c r="J385" s="129"/>
      <c r="K385" s="130"/>
    </row>
    <row r="386" spans="1:11" ht="15.75">
      <c r="A386" s="50">
        <v>4</v>
      </c>
      <c r="B386" s="35" t="s">
        <v>476</v>
      </c>
      <c r="C386" s="38"/>
      <c r="D386" s="128"/>
      <c r="E386" s="128"/>
      <c r="F386" s="128"/>
      <c r="G386" s="128"/>
      <c r="H386" s="128"/>
      <c r="I386" s="41"/>
      <c r="J386" s="129"/>
      <c r="K386" s="130"/>
    </row>
    <row r="387" spans="1:11" ht="15.75">
      <c r="A387" s="50"/>
      <c r="B387" s="35"/>
      <c r="C387" s="38"/>
      <c r="D387" s="128"/>
      <c r="E387" s="128" t="s">
        <v>429</v>
      </c>
      <c r="F387" s="128"/>
      <c r="G387" s="128"/>
      <c r="H387" s="128"/>
      <c r="I387" s="41"/>
      <c r="J387" s="129">
        <f>J345</f>
        <v>235</v>
      </c>
      <c r="K387" s="130" t="s">
        <v>8</v>
      </c>
    </row>
    <row r="388" spans="1:11" ht="15.75">
      <c r="A388" s="50"/>
      <c r="B388" s="35"/>
      <c r="C388" s="38"/>
      <c r="D388" s="128"/>
      <c r="E388" s="128"/>
      <c r="F388" s="128"/>
      <c r="G388" s="128"/>
      <c r="H388" s="128"/>
      <c r="I388" s="41"/>
      <c r="J388" s="129"/>
      <c r="K388" s="130"/>
    </row>
    <row r="389" spans="1:11" ht="15.75">
      <c r="A389" s="50"/>
      <c r="B389" s="35"/>
      <c r="C389" s="38"/>
      <c r="D389" s="128"/>
      <c r="E389" s="128"/>
      <c r="F389" s="128"/>
      <c r="G389" s="128"/>
      <c r="H389" s="128"/>
      <c r="I389" s="41"/>
      <c r="J389" s="129"/>
      <c r="K389" s="130"/>
    </row>
    <row r="390" spans="1:11" ht="15.75">
      <c r="A390" s="50"/>
      <c r="B390" s="35"/>
      <c r="C390" s="38"/>
      <c r="D390" s="128"/>
      <c r="E390" s="128"/>
      <c r="F390" s="128"/>
      <c r="G390" s="128"/>
      <c r="H390" s="128"/>
      <c r="I390" s="41"/>
      <c r="J390" s="129"/>
      <c r="K390" s="130"/>
    </row>
    <row r="391" spans="1:11">
      <c r="A391" s="93"/>
      <c r="B391" s="51" t="s">
        <v>2</v>
      </c>
      <c r="C391" s="50"/>
      <c r="D391" s="50" t="s">
        <v>0</v>
      </c>
      <c r="E391" s="50"/>
      <c r="F391" s="51"/>
      <c r="G391" s="50"/>
      <c r="H391" s="50"/>
      <c r="I391" s="50" t="s">
        <v>72</v>
      </c>
      <c r="J391" s="50"/>
      <c r="K391" s="51"/>
    </row>
    <row r="392" spans="1:11">
      <c r="A392" s="93"/>
      <c r="B392" s="68"/>
      <c r="C392" s="50"/>
      <c r="D392" s="40" t="s">
        <v>73</v>
      </c>
      <c r="E392" s="50"/>
      <c r="F392" s="51"/>
      <c r="G392" s="50"/>
      <c r="H392" s="50"/>
      <c r="I392" s="40" t="s">
        <v>74</v>
      </c>
      <c r="J392" s="50"/>
      <c r="K392" s="51"/>
    </row>
    <row r="393" spans="1:11">
      <c r="A393" s="93"/>
      <c r="B393" s="68"/>
      <c r="C393" s="50"/>
      <c r="D393" s="79" t="s">
        <v>1</v>
      </c>
      <c r="E393" s="50"/>
      <c r="F393" s="51"/>
      <c r="G393" s="50"/>
      <c r="H393" s="50"/>
      <c r="I393" s="79" t="s">
        <v>1</v>
      </c>
      <c r="J393" s="50"/>
      <c r="K393" s="51"/>
    </row>
    <row r="394" spans="1:11" ht="15.75">
      <c r="A394" s="50"/>
      <c r="B394" s="35"/>
      <c r="C394" s="38"/>
      <c r="D394" s="128"/>
      <c r="E394" s="128"/>
      <c r="F394" s="128"/>
      <c r="G394" s="128"/>
      <c r="H394" s="128"/>
      <c r="I394" s="41"/>
      <c r="J394" s="129"/>
      <c r="K394" s="130"/>
    </row>
    <row r="395" spans="1:11" ht="15.75">
      <c r="A395" s="50"/>
      <c r="B395" s="35"/>
      <c r="C395" s="38"/>
      <c r="D395" s="128"/>
      <c r="E395" s="128"/>
      <c r="F395" s="128"/>
      <c r="G395" s="128"/>
      <c r="H395" s="128"/>
      <c r="I395" s="41"/>
      <c r="J395" s="129"/>
      <c r="K395" s="130"/>
    </row>
    <row r="396" spans="1:11">
      <c r="E396" s="7"/>
      <c r="F396" s="7"/>
      <c r="I396" s="8"/>
      <c r="J396" s="8"/>
      <c r="K396" s="7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206"/>
  <sheetViews>
    <sheetView view="pageBreakPreview" topLeftCell="A108" zoomScale="115" zoomScaleSheetLayoutView="115" workbookViewId="0">
      <selection activeCell="A202" sqref="A202:K205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41" t="s">
        <v>3</v>
      </c>
      <c r="B1" s="241"/>
      <c r="C1" s="227" t="s">
        <v>78</v>
      </c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7.25" customHeight="1"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5.75">
      <c r="D4" s="141" t="s">
        <v>477</v>
      </c>
      <c r="E4" s="128"/>
      <c r="H4" s="14"/>
    </row>
    <row r="5" spans="1:11" ht="15" customHeight="1">
      <c r="F5" s="11"/>
    </row>
    <row r="6" spans="1:11" ht="15" customHeight="1">
      <c r="A6" s="136" t="s">
        <v>15</v>
      </c>
      <c r="B6" s="242" t="s">
        <v>17</v>
      </c>
      <c r="C6" s="242"/>
      <c r="D6" s="242"/>
      <c r="E6" s="243" t="s">
        <v>18</v>
      </c>
      <c r="F6" s="243"/>
      <c r="G6" s="243"/>
      <c r="H6" s="243"/>
      <c r="I6" s="12"/>
      <c r="J6" s="244" t="s">
        <v>13</v>
      </c>
      <c r="K6" s="244"/>
    </row>
    <row r="7" spans="1:11" ht="15.75">
      <c r="A7" s="7"/>
      <c r="B7" s="35" t="s">
        <v>478</v>
      </c>
      <c r="C7" s="1"/>
    </row>
    <row r="8" spans="1:11" ht="15.75">
      <c r="A8" s="7"/>
      <c r="B8" s="35" t="s">
        <v>479</v>
      </c>
      <c r="C8" s="1"/>
    </row>
    <row r="9" spans="1:11" ht="15.75">
      <c r="A9" s="50"/>
      <c r="B9" s="33" t="s">
        <v>480</v>
      </c>
      <c r="C9" s="38"/>
      <c r="D9" s="128"/>
      <c r="E9" s="128" t="s">
        <v>482</v>
      </c>
      <c r="F9" s="128"/>
      <c r="G9" s="128"/>
      <c r="H9" s="128"/>
      <c r="I9" s="41"/>
      <c r="J9" s="129">
        <f>1*2*156*7.25*1.042</f>
        <v>2357.0039999999999</v>
      </c>
      <c r="K9" s="130" t="s">
        <v>702</v>
      </c>
    </row>
    <row r="10" spans="1:11" ht="15.75">
      <c r="A10" s="50"/>
      <c r="B10" s="33" t="s">
        <v>481</v>
      </c>
      <c r="C10" s="38"/>
      <c r="D10" s="128"/>
      <c r="E10" s="128" t="s">
        <v>483</v>
      </c>
      <c r="F10" s="128"/>
      <c r="G10" s="128"/>
      <c r="H10" s="128"/>
      <c r="I10" s="41"/>
      <c r="J10" s="135">
        <f>1*2*18*53*1.042</f>
        <v>1988.136</v>
      </c>
      <c r="K10" s="130" t="s">
        <v>702</v>
      </c>
    </row>
    <row r="11" spans="1:11" ht="15.75">
      <c r="A11" s="50"/>
      <c r="B11" s="33" t="s">
        <v>505</v>
      </c>
      <c r="C11" s="38"/>
      <c r="D11" s="128"/>
      <c r="E11" s="128" t="s">
        <v>484</v>
      </c>
      <c r="F11" s="128"/>
      <c r="G11" s="128"/>
      <c r="H11" s="128"/>
      <c r="I11" s="41"/>
      <c r="J11" s="135">
        <f>1*26*9*1.042</f>
        <v>243.828</v>
      </c>
      <c r="K11" s="130" t="s">
        <v>702</v>
      </c>
    </row>
    <row r="12" spans="1:11" ht="15.75">
      <c r="A12" s="50"/>
      <c r="B12" s="33" t="s">
        <v>506</v>
      </c>
      <c r="C12" s="38"/>
      <c r="D12" s="128"/>
      <c r="E12" s="128" t="s">
        <v>485</v>
      </c>
      <c r="F12" s="128"/>
      <c r="G12" s="128"/>
      <c r="H12" s="128"/>
      <c r="I12" s="41"/>
      <c r="J12" s="135">
        <f>1*2*112*7.25*1.042</f>
        <v>1692.2080000000001</v>
      </c>
      <c r="K12" s="130" t="s">
        <v>702</v>
      </c>
    </row>
    <row r="13" spans="1:11" ht="15.75">
      <c r="A13" s="50"/>
      <c r="B13" s="33" t="s">
        <v>481</v>
      </c>
      <c r="C13" s="38"/>
      <c r="D13" s="128"/>
      <c r="E13" s="128" t="s">
        <v>486</v>
      </c>
      <c r="F13" s="128"/>
      <c r="G13" s="128"/>
      <c r="H13" s="128"/>
      <c r="I13" s="41"/>
      <c r="J13" s="135">
        <f>1*2*18*38.5*1.042</f>
        <v>1444.212</v>
      </c>
      <c r="K13" s="130" t="s">
        <v>702</v>
      </c>
    </row>
    <row r="14" spans="1:11" ht="15.75">
      <c r="A14" s="50"/>
      <c r="B14" s="33" t="s">
        <v>505</v>
      </c>
      <c r="C14" s="38"/>
      <c r="D14" s="128"/>
      <c r="E14" s="128" t="s">
        <v>487</v>
      </c>
      <c r="F14" s="128"/>
      <c r="G14" s="128"/>
      <c r="H14" s="128"/>
      <c r="I14" s="41"/>
      <c r="J14" s="135">
        <f>1*18*9*1.042</f>
        <v>168.804</v>
      </c>
      <c r="K14" s="130" t="s">
        <v>702</v>
      </c>
    </row>
    <row r="15" spans="1:11" ht="15.75">
      <c r="A15" s="50"/>
      <c r="B15" s="33" t="s">
        <v>507</v>
      </c>
      <c r="C15" s="38"/>
      <c r="D15" s="128"/>
      <c r="E15" s="128" t="s">
        <v>488</v>
      </c>
      <c r="F15" s="128"/>
      <c r="G15" s="128"/>
      <c r="H15" s="128"/>
      <c r="I15" s="41"/>
      <c r="J15" s="135">
        <f>1*2*88*7.25*1.042</f>
        <v>1329.5920000000001</v>
      </c>
      <c r="K15" s="130" t="s">
        <v>702</v>
      </c>
    </row>
    <row r="16" spans="1:11" ht="15.75">
      <c r="A16" s="50"/>
      <c r="B16" s="33" t="s">
        <v>481</v>
      </c>
      <c r="C16" s="38"/>
      <c r="D16" s="128"/>
      <c r="E16" s="128" t="s">
        <v>489</v>
      </c>
      <c r="F16" s="128"/>
      <c r="G16" s="128"/>
      <c r="H16" s="128"/>
      <c r="I16" s="41"/>
      <c r="J16" s="135">
        <f>1*2*18*30*1.042</f>
        <v>1125.3600000000001</v>
      </c>
      <c r="K16" s="130" t="s">
        <v>702</v>
      </c>
    </row>
    <row r="17" spans="1:12" ht="15.75">
      <c r="A17" s="50"/>
      <c r="B17" s="33" t="s">
        <v>505</v>
      </c>
      <c r="C17" s="38"/>
      <c r="D17" s="128"/>
      <c r="E17" s="128" t="s">
        <v>490</v>
      </c>
      <c r="F17" s="128"/>
      <c r="G17" s="128"/>
      <c r="H17" s="128"/>
      <c r="I17" s="41"/>
      <c r="J17" s="135">
        <f>1*14*9*1.042</f>
        <v>131.292</v>
      </c>
      <c r="K17" s="130" t="s">
        <v>702</v>
      </c>
    </row>
    <row r="18" spans="1:12" ht="15.75">
      <c r="A18" s="50"/>
      <c r="B18" s="33" t="s">
        <v>508</v>
      </c>
      <c r="C18" s="38"/>
      <c r="D18" s="128"/>
      <c r="E18" s="128" t="s">
        <v>491</v>
      </c>
      <c r="F18" s="128"/>
      <c r="G18" s="128"/>
      <c r="H18" s="128"/>
      <c r="I18" s="41"/>
      <c r="J18" s="135">
        <f>1*2*71*6.25*1.042</f>
        <v>924.77499999999998</v>
      </c>
      <c r="K18" s="130" t="s">
        <v>702</v>
      </c>
    </row>
    <row r="19" spans="1:12" ht="15.75">
      <c r="A19" s="50"/>
      <c r="B19" s="33" t="s">
        <v>481</v>
      </c>
      <c r="C19" s="38"/>
      <c r="D19" s="128"/>
      <c r="E19" s="128" t="s">
        <v>492</v>
      </c>
      <c r="F19" s="128"/>
      <c r="G19" s="128"/>
      <c r="H19" s="128"/>
      <c r="I19" s="41"/>
      <c r="J19" s="135">
        <f>1*2*15*24.5*1.042</f>
        <v>765.87</v>
      </c>
      <c r="K19" s="130" t="s">
        <v>702</v>
      </c>
    </row>
    <row r="20" spans="1:12" ht="15.75">
      <c r="A20" s="50"/>
      <c r="B20" s="33" t="s">
        <v>505</v>
      </c>
      <c r="C20" s="38"/>
      <c r="D20" s="128"/>
      <c r="E20" s="128" t="s">
        <v>493</v>
      </c>
      <c r="F20" s="128"/>
      <c r="G20" s="128"/>
      <c r="H20" s="128"/>
      <c r="I20" s="41"/>
      <c r="J20" s="135">
        <f>1*12*8.5*1.042</f>
        <v>106.28400000000001</v>
      </c>
      <c r="K20" s="130" t="s">
        <v>702</v>
      </c>
    </row>
    <row r="21" spans="1:12" ht="15" customHeight="1">
      <c r="A21" s="50"/>
      <c r="B21" s="33" t="s">
        <v>508</v>
      </c>
      <c r="C21" s="38"/>
      <c r="D21" s="128"/>
      <c r="E21" s="128" t="s">
        <v>494</v>
      </c>
      <c r="F21" s="128"/>
      <c r="G21" s="128"/>
      <c r="H21" s="128"/>
      <c r="I21" s="41"/>
      <c r="J21" s="135">
        <f>1*2*130*6.25*1.042</f>
        <v>1693.25</v>
      </c>
      <c r="K21" s="130" t="s">
        <v>702</v>
      </c>
      <c r="L21" s="13"/>
    </row>
    <row r="22" spans="1:12" ht="15" customHeight="1">
      <c r="A22" s="50"/>
      <c r="B22" s="33" t="s">
        <v>481</v>
      </c>
      <c r="C22" s="38"/>
      <c r="D22" s="128"/>
      <c r="E22" s="128" t="s">
        <v>495</v>
      </c>
      <c r="F22" s="128"/>
      <c r="G22" s="128"/>
      <c r="H22" s="128"/>
      <c r="I22" s="41"/>
      <c r="J22" s="135">
        <f>1*2*15*44.25*1.042</f>
        <v>1383.2550000000001</v>
      </c>
      <c r="K22" s="130" t="s">
        <v>702</v>
      </c>
      <c r="L22" s="13"/>
    </row>
    <row r="23" spans="1:12" ht="15" customHeight="1">
      <c r="A23" s="50"/>
      <c r="B23" s="33" t="s">
        <v>505</v>
      </c>
      <c r="C23" s="38"/>
      <c r="D23" s="128"/>
      <c r="E23" s="128" t="s">
        <v>496</v>
      </c>
      <c r="F23" s="128"/>
      <c r="G23" s="128"/>
      <c r="H23" s="128"/>
      <c r="I23" s="41"/>
      <c r="J23" s="135">
        <f>1*22*8.5*1.042</f>
        <v>194.85400000000001</v>
      </c>
      <c r="K23" s="130" t="s">
        <v>702</v>
      </c>
      <c r="L23" s="13"/>
    </row>
    <row r="24" spans="1:12" ht="15" customHeight="1">
      <c r="A24" s="50"/>
      <c r="B24" s="33" t="s">
        <v>508</v>
      </c>
      <c r="C24" s="38"/>
      <c r="D24" s="128"/>
      <c r="E24" s="128" t="s">
        <v>497</v>
      </c>
      <c r="F24" s="128"/>
      <c r="G24" s="128"/>
      <c r="H24" s="128"/>
      <c r="I24" s="41"/>
      <c r="J24" s="135">
        <f>1*2*34*6.25*1.042</f>
        <v>442.85</v>
      </c>
      <c r="K24" s="130" t="s">
        <v>702</v>
      </c>
      <c r="L24" s="13"/>
    </row>
    <row r="25" spans="1:12" ht="15" customHeight="1">
      <c r="A25" s="50"/>
      <c r="B25" s="33" t="s">
        <v>481</v>
      </c>
      <c r="C25" s="38"/>
      <c r="D25" s="128"/>
      <c r="E25" s="128" t="s">
        <v>498</v>
      </c>
      <c r="F25" s="128"/>
      <c r="G25" s="128"/>
      <c r="H25" s="128"/>
      <c r="I25" s="41"/>
      <c r="J25" s="135">
        <f>1*2*15*13*1.042</f>
        <v>406.38</v>
      </c>
      <c r="K25" s="130" t="s">
        <v>702</v>
      </c>
      <c r="L25" s="13"/>
    </row>
    <row r="26" spans="1:12" ht="15" customHeight="1">
      <c r="A26" s="50"/>
      <c r="B26" s="33" t="s">
        <v>505</v>
      </c>
      <c r="C26" s="38"/>
      <c r="D26" s="128"/>
      <c r="E26" s="128" t="s">
        <v>499</v>
      </c>
      <c r="F26" s="128"/>
      <c r="G26" s="128"/>
      <c r="H26" s="128"/>
      <c r="I26" s="41"/>
      <c r="J26" s="135">
        <f>1*6*8.5*1.042</f>
        <v>53.142000000000003</v>
      </c>
      <c r="K26" s="130" t="s">
        <v>702</v>
      </c>
      <c r="L26" s="13"/>
    </row>
    <row r="27" spans="1:12" ht="15" customHeight="1">
      <c r="A27" s="50"/>
      <c r="B27" s="33" t="s">
        <v>508</v>
      </c>
      <c r="C27" s="38"/>
      <c r="D27" s="128"/>
      <c r="E27" s="128" t="s">
        <v>500</v>
      </c>
      <c r="F27" s="128"/>
      <c r="G27" s="128"/>
      <c r="H27" s="128"/>
      <c r="I27" s="41"/>
      <c r="J27" s="135">
        <f>1*2*156*6.25*1.042</f>
        <v>2031.9</v>
      </c>
      <c r="K27" s="130" t="s">
        <v>702</v>
      </c>
      <c r="L27" s="13"/>
    </row>
    <row r="28" spans="1:12" ht="15" customHeight="1">
      <c r="A28" s="50"/>
      <c r="B28" s="33" t="s">
        <v>481</v>
      </c>
      <c r="C28" s="38"/>
      <c r="D28" s="128"/>
      <c r="E28" s="128" t="s">
        <v>501</v>
      </c>
      <c r="F28" s="128"/>
      <c r="G28" s="128"/>
      <c r="H28" s="128"/>
      <c r="I28" s="41"/>
      <c r="J28" s="135">
        <f>1*2*15*53*1.042</f>
        <v>1656.78</v>
      </c>
      <c r="K28" s="130" t="s">
        <v>702</v>
      </c>
      <c r="L28" s="13"/>
    </row>
    <row r="29" spans="1:12" ht="15" customHeight="1">
      <c r="A29" s="50"/>
      <c r="B29" s="33" t="s">
        <v>505</v>
      </c>
      <c r="C29" s="38"/>
      <c r="D29" s="128"/>
      <c r="E29" s="128" t="s">
        <v>502</v>
      </c>
      <c r="F29" s="128"/>
      <c r="G29" s="128"/>
      <c r="H29" s="128"/>
      <c r="I29" s="41"/>
      <c r="J29" s="135">
        <f>1*26*8.5*1.042</f>
        <v>230.28200000000001</v>
      </c>
      <c r="K29" s="130" t="s">
        <v>702</v>
      </c>
      <c r="L29" s="13"/>
    </row>
    <row r="30" spans="1:12" ht="15" customHeight="1">
      <c r="A30" s="50"/>
      <c r="B30" s="33" t="s">
        <v>509</v>
      </c>
      <c r="C30" s="38"/>
      <c r="D30" s="128"/>
      <c r="E30" s="128" t="s">
        <v>503</v>
      </c>
      <c r="F30" s="128"/>
      <c r="G30" s="128"/>
      <c r="H30" s="128"/>
      <c r="I30" s="41"/>
      <c r="J30" s="135">
        <f>24*8*11*1.042</f>
        <v>2200.7040000000002</v>
      </c>
      <c r="K30" s="130" t="s">
        <v>702</v>
      </c>
      <c r="L30" s="13"/>
    </row>
    <row r="31" spans="1:12" ht="15" customHeight="1">
      <c r="A31" s="50"/>
      <c r="B31" s="33" t="s">
        <v>510</v>
      </c>
      <c r="C31" s="38"/>
      <c r="D31" s="128"/>
      <c r="E31" s="128" t="s">
        <v>504</v>
      </c>
      <c r="F31" s="128"/>
      <c r="G31" s="128"/>
      <c r="H31" s="128"/>
      <c r="I31" s="41"/>
      <c r="J31" s="135">
        <f>24*2*17*4*0.375</f>
        <v>1224</v>
      </c>
      <c r="K31" s="130" t="s">
        <v>702</v>
      </c>
      <c r="L31" s="13"/>
    </row>
    <row r="32" spans="1:12" ht="15" customHeight="1">
      <c r="A32" s="50"/>
      <c r="B32" s="33" t="s">
        <v>540</v>
      </c>
      <c r="C32" s="38"/>
      <c r="D32" s="128"/>
      <c r="E32" s="128" t="s">
        <v>511</v>
      </c>
      <c r="F32" s="128"/>
      <c r="G32" s="128"/>
      <c r="H32" s="128"/>
      <c r="I32" s="41"/>
      <c r="J32" s="135">
        <f>1*4*39.5*1.042</f>
        <v>164.636</v>
      </c>
      <c r="K32" s="130" t="s">
        <v>702</v>
      </c>
      <c r="L32" s="13"/>
    </row>
    <row r="33" spans="1:12" ht="15" customHeight="1">
      <c r="A33" s="50"/>
      <c r="B33" s="33" t="s">
        <v>541</v>
      </c>
      <c r="C33" s="38"/>
      <c r="D33" s="128"/>
      <c r="E33" s="128" t="s">
        <v>512</v>
      </c>
      <c r="F33" s="128"/>
      <c r="G33" s="128"/>
      <c r="H33" s="128"/>
      <c r="I33" s="41"/>
      <c r="J33" s="135">
        <f>1*73*5*0.375</f>
        <v>136.875</v>
      </c>
      <c r="K33" s="130" t="s">
        <v>702</v>
      </c>
      <c r="L33" s="13"/>
    </row>
    <row r="34" spans="1:12" ht="15" customHeight="1">
      <c r="A34" s="50"/>
      <c r="B34" s="33" t="s">
        <v>542</v>
      </c>
      <c r="C34" s="38"/>
      <c r="D34" s="128"/>
      <c r="E34" s="128" t="s">
        <v>513</v>
      </c>
      <c r="F34" s="128"/>
      <c r="G34" s="128"/>
      <c r="H34" s="128"/>
      <c r="I34" s="41"/>
      <c r="J34" s="135">
        <f>1*4*48.25*1.042</f>
        <v>201.10599999999999</v>
      </c>
      <c r="K34" s="130" t="s">
        <v>702</v>
      </c>
      <c r="L34" s="13"/>
    </row>
    <row r="35" spans="1:12" ht="15" customHeight="1">
      <c r="A35" s="50"/>
      <c r="B35" s="33" t="s">
        <v>541</v>
      </c>
      <c r="C35" s="38"/>
      <c r="D35" s="128"/>
      <c r="E35" s="128" t="s">
        <v>514</v>
      </c>
      <c r="F35" s="128"/>
      <c r="G35" s="128"/>
      <c r="H35" s="128"/>
      <c r="I35" s="41"/>
      <c r="J35" s="135">
        <f>1*74*5*0.375</f>
        <v>138.75</v>
      </c>
      <c r="K35" s="130" t="s">
        <v>702</v>
      </c>
      <c r="L35" s="13"/>
    </row>
    <row r="36" spans="1:12" ht="15" customHeight="1">
      <c r="A36" s="50"/>
      <c r="B36" s="33" t="s">
        <v>543</v>
      </c>
      <c r="C36" s="38"/>
      <c r="D36" s="128"/>
      <c r="E36" s="128" t="s">
        <v>515</v>
      </c>
      <c r="F36" s="128"/>
      <c r="G36" s="128"/>
      <c r="H36" s="128"/>
      <c r="I36" s="41"/>
      <c r="J36" s="135">
        <f>6*4*17*1.042</f>
        <v>425.13600000000002</v>
      </c>
      <c r="K36" s="130" t="s">
        <v>702</v>
      </c>
      <c r="L36" s="13"/>
    </row>
    <row r="37" spans="1:12" ht="15" customHeight="1">
      <c r="A37" s="50"/>
      <c r="B37" s="33" t="s">
        <v>541</v>
      </c>
      <c r="C37" s="38"/>
      <c r="D37" s="128"/>
      <c r="E37" s="8" t="s">
        <v>516</v>
      </c>
      <c r="F37" s="128"/>
      <c r="G37" s="128"/>
      <c r="H37" s="128"/>
      <c r="I37" s="41"/>
      <c r="J37" s="144">
        <f>6*25*5*0.375</f>
        <v>281.25</v>
      </c>
      <c r="K37" s="130" t="s">
        <v>702</v>
      </c>
      <c r="L37" s="13"/>
    </row>
    <row r="38" spans="1:12" ht="15" customHeight="1">
      <c r="A38" s="50"/>
      <c r="B38" s="128" t="s">
        <v>544</v>
      </c>
      <c r="C38" s="38"/>
      <c r="D38" s="128"/>
      <c r="E38" s="8" t="s">
        <v>517</v>
      </c>
      <c r="F38" s="128"/>
      <c r="G38" s="128"/>
      <c r="H38" s="128"/>
      <c r="I38" s="41"/>
      <c r="J38" s="144">
        <f>1*4*35.5*1.042</f>
        <v>147.964</v>
      </c>
      <c r="K38" s="130" t="s">
        <v>702</v>
      </c>
      <c r="L38" s="13"/>
    </row>
    <row r="39" spans="1:12" ht="15" customHeight="1">
      <c r="A39" s="50"/>
      <c r="B39" s="33" t="s">
        <v>545</v>
      </c>
      <c r="C39" s="38"/>
      <c r="D39" s="128"/>
      <c r="E39" s="128" t="s">
        <v>518</v>
      </c>
      <c r="F39" s="128"/>
      <c r="G39" s="128"/>
      <c r="H39" s="128"/>
      <c r="I39" s="41"/>
      <c r="J39" s="135">
        <f>1*2*13.5*0.667</f>
        <v>18.009</v>
      </c>
      <c r="K39" s="130" t="s">
        <v>702</v>
      </c>
      <c r="L39" s="13"/>
    </row>
    <row r="40" spans="1:12" ht="15" customHeight="1">
      <c r="A40" s="50"/>
      <c r="B40" s="33" t="s">
        <v>545</v>
      </c>
      <c r="C40" s="38"/>
      <c r="D40" s="128"/>
      <c r="E40" s="128" t="s">
        <v>519</v>
      </c>
      <c r="F40" s="128"/>
      <c r="G40" s="128"/>
      <c r="H40" s="128"/>
      <c r="I40" s="41"/>
      <c r="J40" s="135">
        <f>1*2*12.5*0.667</f>
        <v>16.675000000000001</v>
      </c>
      <c r="K40" s="130" t="s">
        <v>702</v>
      </c>
      <c r="L40" s="13"/>
    </row>
    <row r="41" spans="1:12" ht="15" customHeight="1">
      <c r="A41" s="50"/>
      <c r="B41" s="33" t="s">
        <v>541</v>
      </c>
      <c r="C41" s="38"/>
      <c r="D41" s="128"/>
      <c r="E41" s="128" t="s">
        <v>547</v>
      </c>
      <c r="F41" s="128"/>
      <c r="G41" s="128"/>
      <c r="H41" s="128"/>
      <c r="I41" s="41"/>
      <c r="J41" s="135">
        <f>1*6*4*5*0.375</f>
        <v>45</v>
      </c>
      <c r="K41" s="130" t="s">
        <v>702</v>
      </c>
      <c r="L41" s="13"/>
    </row>
    <row r="42" spans="1:12" ht="15" customHeight="1">
      <c r="A42" s="50"/>
      <c r="B42" s="8" t="s">
        <v>546</v>
      </c>
      <c r="C42" s="38"/>
      <c r="D42" s="128"/>
      <c r="E42" s="128" t="s">
        <v>548</v>
      </c>
      <c r="F42" s="128"/>
      <c r="G42" s="128"/>
      <c r="H42" s="128"/>
      <c r="I42" s="41"/>
      <c r="J42" s="135">
        <f>2*4*13.5*1.042</f>
        <v>112.536</v>
      </c>
      <c r="K42" s="130" t="s">
        <v>702</v>
      </c>
      <c r="L42" s="13"/>
    </row>
    <row r="43" spans="1:12" ht="15" customHeight="1">
      <c r="A43" s="50"/>
      <c r="B43" s="8" t="s">
        <v>541</v>
      </c>
      <c r="C43" s="38"/>
      <c r="D43" s="128"/>
      <c r="E43" s="128" t="s">
        <v>549</v>
      </c>
      <c r="F43" s="128"/>
      <c r="G43" s="128"/>
      <c r="H43" s="128"/>
      <c r="I43" s="41"/>
      <c r="J43" s="135">
        <f>2*24*5*0.375</f>
        <v>90</v>
      </c>
      <c r="K43" s="130" t="s">
        <v>702</v>
      </c>
      <c r="L43" s="13"/>
    </row>
    <row r="44" spans="1:12" ht="15" customHeight="1">
      <c r="A44" s="50"/>
      <c r="B44" s="8" t="s">
        <v>551</v>
      </c>
      <c r="C44" s="38"/>
      <c r="D44" s="128"/>
      <c r="E44" s="128" t="s">
        <v>550</v>
      </c>
      <c r="F44" s="128"/>
      <c r="G44" s="128"/>
      <c r="H44" s="128"/>
      <c r="I44" s="41"/>
      <c r="J44" s="135">
        <f>1*4*18*1.042</f>
        <v>75.024000000000001</v>
      </c>
      <c r="K44" s="130" t="s">
        <v>702</v>
      </c>
      <c r="L44" s="13"/>
    </row>
    <row r="45" spans="1:12" ht="15" customHeight="1">
      <c r="A45" s="50"/>
      <c r="B45" s="8" t="s">
        <v>545</v>
      </c>
      <c r="C45" s="38"/>
      <c r="D45" s="128"/>
      <c r="E45" s="128" t="s">
        <v>519</v>
      </c>
      <c r="F45" s="128"/>
      <c r="G45" s="128"/>
      <c r="H45" s="128"/>
      <c r="I45" s="41"/>
      <c r="J45" s="135">
        <f>1*2*12.5*0.667</f>
        <v>16.675000000000001</v>
      </c>
      <c r="K45" s="130" t="s">
        <v>702</v>
      </c>
      <c r="L45" s="13"/>
    </row>
    <row r="46" spans="1:12" ht="15" customHeight="1">
      <c r="A46" s="50"/>
      <c r="B46" s="128" t="s">
        <v>541</v>
      </c>
      <c r="C46" s="38"/>
      <c r="D46" s="128"/>
      <c r="E46" s="8" t="s">
        <v>520</v>
      </c>
      <c r="F46" s="128"/>
      <c r="G46" s="128"/>
      <c r="H46" s="128"/>
      <c r="I46" s="41"/>
      <c r="J46" s="144">
        <f>1*32*5*0.375</f>
        <v>60</v>
      </c>
      <c r="K46" s="130" t="s">
        <v>702</v>
      </c>
      <c r="L46" s="13"/>
    </row>
    <row r="47" spans="1:12" ht="15" customHeight="1">
      <c r="A47" s="50"/>
      <c r="B47" s="33" t="s">
        <v>552</v>
      </c>
      <c r="C47" s="38"/>
      <c r="D47" s="128"/>
      <c r="E47" s="8" t="s">
        <v>521</v>
      </c>
      <c r="F47" s="128"/>
      <c r="G47" s="128"/>
      <c r="H47" s="128"/>
      <c r="I47" s="41"/>
      <c r="J47" s="144">
        <f>1*4*25.75*1.042</f>
        <v>107.32600000000001</v>
      </c>
      <c r="K47" s="130" t="s">
        <v>702</v>
      </c>
      <c r="L47" s="13"/>
    </row>
    <row r="48" spans="1:12" ht="15" customHeight="1">
      <c r="A48" s="50"/>
      <c r="B48" s="33" t="s">
        <v>545</v>
      </c>
      <c r="C48" s="38"/>
      <c r="D48" s="128"/>
      <c r="E48" s="128" t="s">
        <v>522</v>
      </c>
      <c r="F48" s="128"/>
      <c r="G48" s="128"/>
      <c r="H48" s="128"/>
      <c r="I48" s="41"/>
      <c r="J48" s="135">
        <f>1*2*13.5*1.042</f>
        <v>28.134</v>
      </c>
      <c r="K48" s="130" t="s">
        <v>702</v>
      </c>
      <c r="L48" s="13"/>
    </row>
    <row r="49" spans="1:12" ht="15" customHeight="1">
      <c r="A49" s="50"/>
      <c r="B49" s="33" t="s">
        <v>545</v>
      </c>
      <c r="C49" s="38"/>
      <c r="D49" s="128"/>
      <c r="E49" s="128" t="s">
        <v>518</v>
      </c>
      <c r="F49" s="128"/>
      <c r="G49" s="128"/>
      <c r="H49" s="128"/>
      <c r="I49" s="41"/>
      <c r="J49" s="135">
        <f>1*2*13.5*0.667</f>
        <v>18.009</v>
      </c>
      <c r="K49" s="130" t="s">
        <v>702</v>
      </c>
      <c r="L49" s="13"/>
    </row>
    <row r="50" spans="1:12" ht="15" customHeight="1">
      <c r="A50" s="50"/>
      <c r="B50" s="33" t="s">
        <v>541</v>
      </c>
      <c r="C50" s="38"/>
      <c r="D50" s="128"/>
      <c r="E50" s="128" t="s">
        <v>523</v>
      </c>
      <c r="F50" s="128"/>
      <c r="G50" s="128"/>
      <c r="H50" s="128"/>
      <c r="I50" s="41"/>
      <c r="J50" s="135">
        <f>1*42*5*0.667</f>
        <v>140.07000000000002</v>
      </c>
      <c r="K50" s="130" t="s">
        <v>702</v>
      </c>
      <c r="L50" s="13"/>
    </row>
    <row r="51" spans="1:12" ht="15" customHeight="1">
      <c r="A51" s="50"/>
      <c r="B51" s="8" t="s">
        <v>553</v>
      </c>
      <c r="C51" s="38"/>
      <c r="D51" s="128"/>
      <c r="E51" s="128" t="s">
        <v>524</v>
      </c>
      <c r="F51" s="128"/>
      <c r="G51" s="128"/>
      <c r="H51" s="128"/>
      <c r="I51" s="41"/>
      <c r="J51" s="135">
        <f>1*4*20*1.042</f>
        <v>83.36</v>
      </c>
      <c r="K51" s="130" t="s">
        <v>702</v>
      </c>
      <c r="L51" s="13"/>
    </row>
    <row r="52" spans="1:12" ht="15" customHeight="1">
      <c r="A52" s="50"/>
      <c r="B52" s="8" t="s">
        <v>545</v>
      </c>
      <c r="C52" s="38"/>
      <c r="D52" s="128"/>
      <c r="E52" s="128" t="s">
        <v>525</v>
      </c>
      <c r="F52" s="128"/>
      <c r="G52" s="128"/>
      <c r="H52" s="128"/>
      <c r="I52" s="41"/>
      <c r="J52" s="135">
        <f>1*2*14.5*0.667</f>
        <v>19.343</v>
      </c>
      <c r="K52" s="130" t="s">
        <v>702</v>
      </c>
      <c r="L52" s="13"/>
    </row>
    <row r="53" spans="1:12" ht="15" customHeight="1">
      <c r="A53" s="50"/>
      <c r="B53" s="128" t="s">
        <v>541</v>
      </c>
      <c r="C53" s="38"/>
      <c r="D53" s="128"/>
      <c r="E53" s="128" t="s">
        <v>526</v>
      </c>
      <c r="F53" s="128"/>
      <c r="G53" s="128"/>
      <c r="H53" s="128"/>
      <c r="I53" s="41"/>
      <c r="J53" s="135">
        <f>1*35*5*0.375</f>
        <v>65.625</v>
      </c>
      <c r="K53" s="130" t="s">
        <v>702</v>
      </c>
      <c r="L53" s="13"/>
    </row>
    <row r="54" spans="1:12" ht="15" customHeight="1">
      <c r="A54" s="50"/>
      <c r="B54" s="33" t="s">
        <v>554</v>
      </c>
      <c r="C54" s="38"/>
      <c r="D54" s="128"/>
      <c r="E54" s="128" t="s">
        <v>527</v>
      </c>
      <c r="F54" s="128"/>
      <c r="G54" s="128"/>
      <c r="H54" s="128"/>
      <c r="I54" s="41"/>
      <c r="J54" s="135">
        <f>1*4*25*1.042</f>
        <v>104.2</v>
      </c>
      <c r="K54" s="130" t="s">
        <v>702</v>
      </c>
      <c r="L54" s="13"/>
    </row>
    <row r="55" spans="1:12" ht="15" customHeight="1">
      <c r="A55" s="50"/>
      <c r="B55" s="33" t="s">
        <v>541</v>
      </c>
      <c r="C55" s="38"/>
      <c r="D55" s="128"/>
      <c r="E55" s="128" t="s">
        <v>528</v>
      </c>
      <c r="F55" s="128"/>
      <c r="G55" s="128"/>
      <c r="H55" s="128"/>
      <c r="I55" s="41"/>
      <c r="J55" s="135">
        <f>1*40*5*0.375</f>
        <v>75</v>
      </c>
      <c r="K55" s="130" t="s">
        <v>702</v>
      </c>
      <c r="L55" s="13"/>
    </row>
    <row r="56" spans="1:12" ht="15" customHeight="1">
      <c r="A56" s="50"/>
      <c r="B56" s="33" t="s">
        <v>555</v>
      </c>
      <c r="C56" s="38"/>
      <c r="D56" s="128"/>
      <c r="E56" s="128" t="s">
        <v>529</v>
      </c>
      <c r="F56" s="128"/>
      <c r="G56" s="128"/>
      <c r="H56" s="128"/>
      <c r="I56" s="41"/>
      <c r="J56" s="135">
        <f>1*4*43*1.042</f>
        <v>179.22400000000002</v>
      </c>
      <c r="K56" s="130" t="s">
        <v>702</v>
      </c>
      <c r="L56" s="13"/>
    </row>
    <row r="57" spans="1:12" ht="15" customHeight="1">
      <c r="A57" s="50"/>
      <c r="B57" s="33" t="s">
        <v>541</v>
      </c>
      <c r="C57" s="38"/>
      <c r="D57" s="128"/>
      <c r="E57" s="128" t="s">
        <v>530</v>
      </c>
      <c r="F57" s="128"/>
      <c r="G57" s="128"/>
      <c r="H57" s="128"/>
      <c r="I57" s="41"/>
      <c r="J57" s="135">
        <f>1*67*5*0.667</f>
        <v>223.44500000000002</v>
      </c>
      <c r="K57" s="130" t="s">
        <v>702</v>
      </c>
      <c r="L57" s="13"/>
    </row>
    <row r="58" spans="1:12" ht="15" customHeight="1">
      <c r="A58" s="50"/>
      <c r="B58" s="8" t="s">
        <v>556</v>
      </c>
      <c r="C58" s="38"/>
      <c r="D58" s="128"/>
      <c r="E58" s="128" t="s">
        <v>531</v>
      </c>
      <c r="F58" s="128"/>
      <c r="G58" s="128"/>
      <c r="H58" s="128"/>
      <c r="I58" s="41"/>
      <c r="J58" s="135">
        <f>1*4*56.5*1.042</f>
        <v>235.49200000000002</v>
      </c>
      <c r="K58" s="130" t="s">
        <v>702</v>
      </c>
      <c r="L58" s="13"/>
    </row>
    <row r="59" spans="1:12" ht="15" customHeight="1">
      <c r="A59" s="50"/>
      <c r="B59" s="8" t="s">
        <v>545</v>
      </c>
      <c r="C59" s="38"/>
      <c r="D59" s="128"/>
      <c r="E59" s="128" t="s">
        <v>532</v>
      </c>
      <c r="F59" s="128"/>
      <c r="G59" s="128"/>
      <c r="H59" s="128"/>
      <c r="I59" s="41"/>
      <c r="J59" s="135">
        <f>1*2*14*1.042</f>
        <v>29.176000000000002</v>
      </c>
      <c r="K59" s="130" t="s">
        <v>702</v>
      </c>
      <c r="L59" s="13"/>
    </row>
    <row r="60" spans="1:12" ht="15" customHeight="1">
      <c r="A60" s="50"/>
      <c r="B60" s="128" t="s">
        <v>541</v>
      </c>
      <c r="C60" s="38"/>
      <c r="D60" s="128"/>
      <c r="E60" s="128" t="s">
        <v>533</v>
      </c>
      <c r="F60" s="128"/>
      <c r="G60" s="128"/>
      <c r="H60" s="128"/>
      <c r="I60" s="41"/>
      <c r="J60" s="135">
        <f>1*92*5*0.375</f>
        <v>172.5</v>
      </c>
      <c r="K60" s="130" t="s">
        <v>702</v>
      </c>
      <c r="L60" s="13"/>
    </row>
    <row r="61" spans="1:12" ht="15" customHeight="1">
      <c r="A61" s="50"/>
      <c r="B61" s="33" t="s">
        <v>557</v>
      </c>
      <c r="C61" s="38"/>
      <c r="D61" s="128"/>
      <c r="E61" s="128" t="s">
        <v>534</v>
      </c>
      <c r="F61" s="128"/>
      <c r="G61" s="128"/>
      <c r="H61" s="128"/>
      <c r="I61" s="41"/>
      <c r="J61" s="135">
        <f>1*4*9*0.667</f>
        <v>24.012</v>
      </c>
      <c r="K61" s="130" t="s">
        <v>702</v>
      </c>
      <c r="L61" s="13"/>
    </row>
    <row r="62" spans="1:12" ht="15" customHeight="1">
      <c r="A62" s="50"/>
      <c r="B62" s="33" t="s">
        <v>541</v>
      </c>
      <c r="C62" s="38"/>
      <c r="D62" s="128"/>
      <c r="E62" s="128" t="s">
        <v>535</v>
      </c>
      <c r="F62" s="128"/>
      <c r="G62" s="128"/>
      <c r="H62" s="128"/>
      <c r="I62" s="41"/>
      <c r="J62" s="135">
        <f>1*14*5*0.375</f>
        <v>26.25</v>
      </c>
      <c r="K62" s="130" t="s">
        <v>702</v>
      </c>
      <c r="L62" s="13"/>
    </row>
    <row r="63" spans="1:12" ht="15" customHeight="1">
      <c r="A63" s="50"/>
      <c r="B63" s="33" t="s">
        <v>558</v>
      </c>
      <c r="C63" s="38"/>
      <c r="D63" s="128"/>
      <c r="E63" s="128" t="s">
        <v>536</v>
      </c>
      <c r="F63" s="128"/>
      <c r="G63" s="128"/>
      <c r="H63" s="128"/>
      <c r="I63" s="41"/>
      <c r="J63" s="135">
        <f>2*16*3.5*0.667</f>
        <v>74.704000000000008</v>
      </c>
      <c r="K63" s="130" t="s">
        <v>702</v>
      </c>
      <c r="L63" s="13"/>
    </row>
    <row r="64" spans="1:12" ht="15" customHeight="1">
      <c r="A64" s="50"/>
      <c r="B64" s="33" t="s">
        <v>559</v>
      </c>
      <c r="C64" s="38"/>
      <c r="D64" s="128"/>
      <c r="E64" s="128" t="s">
        <v>537</v>
      </c>
      <c r="F64" s="128"/>
      <c r="G64" s="128"/>
      <c r="H64" s="128"/>
      <c r="I64" s="41"/>
      <c r="J64" s="135">
        <f>2*2*7.5*0.375</f>
        <v>11.25</v>
      </c>
      <c r="K64" s="130" t="s">
        <v>702</v>
      </c>
      <c r="L64" s="13"/>
    </row>
    <row r="65" spans="1:12" ht="15" customHeight="1">
      <c r="A65" s="50"/>
      <c r="B65" s="33" t="s">
        <v>560</v>
      </c>
      <c r="C65" s="38"/>
      <c r="D65" s="128"/>
      <c r="E65" s="128" t="s">
        <v>538</v>
      </c>
      <c r="F65" s="128"/>
      <c r="G65" s="128"/>
      <c r="H65" s="128"/>
      <c r="I65" s="41"/>
      <c r="J65" s="135">
        <f>18*2*4.5*0.667</f>
        <v>108.054</v>
      </c>
      <c r="K65" s="130" t="s">
        <v>702</v>
      </c>
      <c r="L65" s="13"/>
    </row>
    <row r="66" spans="1:12" ht="15" customHeight="1">
      <c r="A66" s="50"/>
      <c r="B66" s="33" t="s">
        <v>561</v>
      </c>
      <c r="C66" s="38"/>
      <c r="D66" s="128"/>
      <c r="E66" s="128" t="s">
        <v>539</v>
      </c>
      <c r="F66" s="128"/>
      <c r="G66" s="128"/>
      <c r="H66" s="128"/>
      <c r="I66" s="41"/>
      <c r="J66" s="135">
        <f>18*3*1*0.375</f>
        <v>20.25</v>
      </c>
      <c r="K66" s="130" t="s">
        <v>702</v>
      </c>
      <c r="L66" s="13"/>
    </row>
    <row r="67" spans="1:12" ht="15" customHeight="1">
      <c r="A67" s="50"/>
      <c r="B67" s="33"/>
      <c r="C67" s="38"/>
      <c r="D67" s="128"/>
      <c r="E67" s="128"/>
      <c r="F67" s="128"/>
      <c r="G67" s="128"/>
      <c r="H67" s="128"/>
      <c r="I67" s="41"/>
      <c r="J67" s="135">
        <f>SUM(J9:J66)</f>
        <v>27469.821999999989</v>
      </c>
      <c r="K67" s="130" t="s">
        <v>702</v>
      </c>
      <c r="L67" s="13"/>
    </row>
    <row r="68" spans="1:12" ht="15" customHeight="1">
      <c r="A68" s="50"/>
      <c r="B68" s="33"/>
      <c r="C68" s="38"/>
      <c r="D68" s="128"/>
      <c r="E68" s="128"/>
      <c r="F68" s="128"/>
      <c r="G68" s="128"/>
      <c r="H68" s="128"/>
      <c r="I68" s="41"/>
      <c r="J68" s="135"/>
      <c r="K68" s="130"/>
      <c r="L68" s="13"/>
    </row>
    <row r="69" spans="1:12" ht="15" customHeight="1">
      <c r="A69" s="50"/>
      <c r="B69" s="33"/>
      <c r="C69" s="38"/>
      <c r="D69" s="128"/>
      <c r="E69" s="128" t="s">
        <v>705</v>
      </c>
      <c r="F69" s="128"/>
      <c r="G69" s="128"/>
      <c r="H69" s="128"/>
      <c r="I69" s="41"/>
      <c r="J69" s="135">
        <f>27469.82/112</f>
        <v>245.26624999999999</v>
      </c>
      <c r="K69" s="130" t="s">
        <v>703</v>
      </c>
      <c r="L69" s="13"/>
    </row>
    <row r="70" spans="1:12" ht="15" customHeight="1">
      <c r="A70" s="50"/>
      <c r="B70" s="180" t="s">
        <v>562</v>
      </c>
      <c r="C70" s="38"/>
      <c r="D70" s="128"/>
      <c r="E70" s="128"/>
      <c r="F70" s="128"/>
      <c r="G70" s="128"/>
      <c r="H70" s="128"/>
      <c r="I70" s="41"/>
      <c r="J70" s="131"/>
      <c r="K70" s="132"/>
      <c r="L70" s="13"/>
    </row>
    <row r="71" spans="1:12" ht="15" customHeight="1">
      <c r="A71" s="50"/>
      <c r="B71" s="33" t="s">
        <v>564</v>
      </c>
      <c r="C71" s="38"/>
      <c r="D71" s="128"/>
      <c r="E71" s="128" t="s">
        <v>565</v>
      </c>
      <c r="F71" s="128"/>
      <c r="G71" s="128"/>
      <c r="H71" s="128"/>
      <c r="I71" s="41"/>
      <c r="J71" s="129">
        <f>24*8*13.5*1.042</f>
        <v>2700.864</v>
      </c>
      <c r="K71" s="130" t="s">
        <v>702</v>
      </c>
      <c r="L71" s="13"/>
    </row>
    <row r="72" spans="1:12" ht="15" customHeight="1">
      <c r="A72" s="50"/>
      <c r="B72" s="33" t="s">
        <v>563</v>
      </c>
      <c r="C72" s="38"/>
      <c r="D72" s="128"/>
      <c r="E72" s="128" t="s">
        <v>504</v>
      </c>
      <c r="F72" s="128"/>
      <c r="G72" s="128"/>
      <c r="H72" s="128"/>
      <c r="I72" s="41"/>
      <c r="J72" s="129">
        <f>24*2*17*4*0.375</f>
        <v>1224</v>
      </c>
      <c r="K72" s="130" t="s">
        <v>702</v>
      </c>
      <c r="L72" s="13"/>
    </row>
    <row r="73" spans="1:12" ht="15" customHeight="1">
      <c r="A73" s="50"/>
      <c r="B73" s="33" t="s">
        <v>654</v>
      </c>
      <c r="C73" s="38"/>
      <c r="D73" s="128"/>
      <c r="E73" s="128" t="s">
        <v>511</v>
      </c>
      <c r="F73" s="128"/>
      <c r="G73" s="128"/>
      <c r="H73" s="128"/>
      <c r="I73" s="41"/>
      <c r="J73" s="129">
        <f>1*4*39.5*1.042</f>
        <v>164.636</v>
      </c>
      <c r="K73" s="130" t="s">
        <v>702</v>
      </c>
      <c r="L73" s="13"/>
    </row>
    <row r="74" spans="1:12" ht="15" customHeight="1">
      <c r="A74" s="50"/>
      <c r="B74" s="33" t="s">
        <v>655</v>
      </c>
      <c r="C74" s="38"/>
      <c r="D74" s="128"/>
      <c r="E74" s="128" t="s">
        <v>566</v>
      </c>
      <c r="F74" s="128"/>
      <c r="G74" s="128"/>
      <c r="H74" s="128"/>
      <c r="I74" s="41"/>
      <c r="J74" s="129">
        <f>1*2*39*0.667</f>
        <v>52.026000000000003</v>
      </c>
      <c r="K74" s="130" t="s">
        <v>702</v>
      </c>
      <c r="L74" s="13"/>
    </row>
    <row r="75" spans="1:12" ht="15" customHeight="1">
      <c r="A75" s="50"/>
      <c r="B75" s="33" t="s">
        <v>656</v>
      </c>
      <c r="C75" s="38"/>
      <c r="D75" s="128"/>
      <c r="E75" s="128" t="s">
        <v>567</v>
      </c>
      <c r="F75" s="128"/>
      <c r="G75" s="128"/>
      <c r="H75" s="128"/>
      <c r="I75" s="41"/>
      <c r="J75" s="129">
        <f>1*73*9*0.375</f>
        <v>246.375</v>
      </c>
      <c r="K75" s="130" t="s">
        <v>702</v>
      </c>
      <c r="L75" s="13"/>
    </row>
    <row r="76" spans="1:12" ht="15" customHeight="1">
      <c r="A76" s="50"/>
      <c r="B76" s="33" t="s">
        <v>657</v>
      </c>
      <c r="C76" s="38"/>
      <c r="D76" s="128"/>
      <c r="E76" s="128" t="s">
        <v>513</v>
      </c>
      <c r="F76" s="128"/>
      <c r="G76" s="128"/>
      <c r="H76" s="128"/>
      <c r="I76" s="41"/>
      <c r="J76" s="129">
        <f>1*4*48.25*1.042</f>
        <v>201.10599999999999</v>
      </c>
      <c r="K76" s="130" t="s">
        <v>702</v>
      </c>
      <c r="L76" s="13"/>
    </row>
    <row r="77" spans="1:12" ht="15" customHeight="1">
      <c r="A77" s="50"/>
      <c r="B77" s="33" t="s">
        <v>658</v>
      </c>
      <c r="C77" s="38"/>
      <c r="D77" s="128"/>
      <c r="E77" s="128" t="s">
        <v>568</v>
      </c>
      <c r="F77" s="128"/>
      <c r="G77" s="128"/>
      <c r="H77" s="128"/>
      <c r="I77" s="41"/>
      <c r="J77" s="129">
        <f>1*2*47.5*0.667</f>
        <v>63.365000000000002</v>
      </c>
      <c r="K77" s="130" t="s">
        <v>702</v>
      </c>
      <c r="L77" s="13"/>
    </row>
    <row r="78" spans="1:12" ht="15" customHeight="1">
      <c r="A78" s="50"/>
      <c r="B78" s="33" t="s">
        <v>541</v>
      </c>
      <c r="C78" s="38"/>
      <c r="D78" s="128"/>
      <c r="E78" s="128" t="s">
        <v>569</v>
      </c>
      <c r="F78" s="128"/>
      <c r="G78" s="128"/>
      <c r="H78" s="128"/>
      <c r="I78" s="41"/>
      <c r="J78" s="129">
        <f>1*74*9*0.375</f>
        <v>249.75</v>
      </c>
      <c r="K78" s="130" t="s">
        <v>702</v>
      </c>
      <c r="L78" s="13"/>
    </row>
    <row r="79" spans="1:12" ht="15" customHeight="1">
      <c r="A79" s="50"/>
      <c r="B79" s="33" t="s">
        <v>659</v>
      </c>
      <c r="C79" s="38"/>
      <c r="D79" s="128"/>
      <c r="E79" s="128" t="s">
        <v>515</v>
      </c>
      <c r="F79" s="128"/>
      <c r="G79" s="128"/>
      <c r="H79" s="128"/>
      <c r="I79" s="41"/>
      <c r="J79" s="129">
        <f>6*4*17*1.042</f>
        <v>425.13600000000002</v>
      </c>
      <c r="K79" s="130" t="s">
        <v>702</v>
      </c>
    </row>
    <row r="80" spans="1:12" ht="15" customHeight="1">
      <c r="A80" s="50"/>
      <c r="B80" s="33" t="s">
        <v>660</v>
      </c>
      <c r="C80" s="38"/>
      <c r="D80" s="128"/>
      <c r="E80" s="128" t="s">
        <v>570</v>
      </c>
      <c r="F80" s="128"/>
      <c r="G80" s="128"/>
      <c r="H80" s="128"/>
      <c r="I80" s="41"/>
      <c r="J80" s="129">
        <f>6*2*14*0.667</f>
        <v>112.05600000000001</v>
      </c>
      <c r="K80" s="130" t="s">
        <v>702</v>
      </c>
    </row>
    <row r="81" spans="1:11" ht="15" customHeight="1">
      <c r="A81" s="50"/>
      <c r="B81" s="33" t="s">
        <v>661</v>
      </c>
      <c r="C81" s="38"/>
      <c r="D81" s="128"/>
      <c r="E81" s="128" t="s">
        <v>571</v>
      </c>
      <c r="F81" s="128"/>
      <c r="G81" s="128"/>
      <c r="H81" s="128"/>
      <c r="I81" s="41"/>
      <c r="J81" s="129">
        <f>6*2*16.5*0.667</f>
        <v>132.066</v>
      </c>
      <c r="K81" s="130" t="s">
        <v>702</v>
      </c>
    </row>
    <row r="82" spans="1:11" ht="15" customHeight="1">
      <c r="A82" s="50"/>
      <c r="B82" s="33" t="s">
        <v>541</v>
      </c>
      <c r="C82" s="38"/>
      <c r="D82" s="128"/>
      <c r="E82" s="128" t="s">
        <v>572</v>
      </c>
      <c r="F82" s="128"/>
      <c r="G82" s="128"/>
      <c r="H82" s="128"/>
      <c r="I82" s="41"/>
      <c r="J82" s="131">
        <f>6*25*9*0.375</f>
        <v>506.25</v>
      </c>
      <c r="K82" s="130" t="s">
        <v>702</v>
      </c>
    </row>
    <row r="83" spans="1:11" ht="15" customHeight="1">
      <c r="A83" s="50"/>
      <c r="B83" s="33" t="s">
        <v>662</v>
      </c>
      <c r="C83" s="38"/>
      <c r="D83" s="128"/>
      <c r="E83" s="128" t="s">
        <v>517</v>
      </c>
      <c r="F83" s="128"/>
      <c r="G83" s="128"/>
      <c r="H83" s="128"/>
      <c r="I83" s="41"/>
      <c r="J83" s="129">
        <f>1*4*35.5*1.042</f>
        <v>147.964</v>
      </c>
      <c r="K83" s="130" t="s">
        <v>702</v>
      </c>
    </row>
    <row r="84" spans="1:11" ht="15" customHeight="1">
      <c r="A84" s="50"/>
      <c r="B84" s="33" t="s">
        <v>545</v>
      </c>
      <c r="C84" s="38"/>
      <c r="D84" s="128"/>
      <c r="E84" s="128" t="s">
        <v>518</v>
      </c>
      <c r="F84" s="128"/>
      <c r="G84" s="128"/>
      <c r="H84" s="128"/>
      <c r="I84" s="41"/>
      <c r="J84" s="129">
        <f>1*2*13.5*0.667</f>
        <v>18.009</v>
      </c>
      <c r="K84" s="130" t="s">
        <v>702</v>
      </c>
    </row>
    <row r="85" spans="1:11" ht="15" customHeight="1">
      <c r="A85" s="50"/>
      <c r="B85" s="33" t="s">
        <v>545</v>
      </c>
      <c r="C85" s="38"/>
      <c r="D85" s="128"/>
      <c r="E85" s="128" t="s">
        <v>519</v>
      </c>
      <c r="F85" s="128"/>
      <c r="G85" s="128"/>
      <c r="H85" s="128"/>
      <c r="I85" s="41"/>
      <c r="J85" s="129">
        <f>1*2*12.5*0.667</f>
        <v>16.675000000000001</v>
      </c>
      <c r="K85" s="130" t="s">
        <v>702</v>
      </c>
    </row>
    <row r="86" spans="1:11" ht="15" customHeight="1">
      <c r="A86" s="50"/>
      <c r="B86" s="33" t="s">
        <v>661</v>
      </c>
      <c r="C86" s="38"/>
      <c r="D86" s="128"/>
      <c r="E86" s="128" t="s">
        <v>573</v>
      </c>
      <c r="F86" s="128"/>
      <c r="G86" s="128"/>
      <c r="H86" s="128"/>
      <c r="I86" s="41"/>
      <c r="J86" s="129">
        <f>1*2*34.5*0.667</f>
        <v>46.023000000000003</v>
      </c>
      <c r="K86" s="130" t="s">
        <v>702</v>
      </c>
    </row>
    <row r="87" spans="1:11" ht="15" customHeight="1">
      <c r="A87" s="50"/>
      <c r="B87" s="33" t="s">
        <v>541</v>
      </c>
      <c r="C87" s="38"/>
      <c r="D87" s="128"/>
      <c r="E87" s="128" t="s">
        <v>574</v>
      </c>
      <c r="F87" s="128"/>
      <c r="G87" s="128"/>
      <c r="H87" s="128"/>
      <c r="I87" s="41"/>
      <c r="J87" s="129">
        <f>1*64*9*0.375</f>
        <v>216</v>
      </c>
      <c r="K87" s="130" t="s">
        <v>702</v>
      </c>
    </row>
    <row r="88" spans="1:11" ht="15" customHeight="1">
      <c r="A88" s="50"/>
      <c r="B88" s="33" t="s">
        <v>663</v>
      </c>
      <c r="C88" s="38"/>
      <c r="D88" s="128"/>
      <c r="E88" s="128" t="s">
        <v>575</v>
      </c>
      <c r="F88" s="128"/>
      <c r="G88" s="128"/>
      <c r="H88" s="128"/>
      <c r="I88" s="41"/>
      <c r="J88" s="129">
        <f>1*4*13.5*1.042</f>
        <v>56.268000000000001</v>
      </c>
      <c r="K88" s="130" t="s">
        <v>702</v>
      </c>
    </row>
    <row r="89" spans="1:11" ht="15" customHeight="1">
      <c r="A89" s="50"/>
      <c r="B89" s="33" t="s">
        <v>658</v>
      </c>
      <c r="C89" s="38"/>
      <c r="D89" s="128"/>
      <c r="E89" s="128" t="s">
        <v>576</v>
      </c>
      <c r="F89" s="128"/>
      <c r="G89" s="128"/>
      <c r="H89" s="128"/>
      <c r="I89" s="41"/>
      <c r="J89" s="129">
        <f>1*2*12.75*0.667</f>
        <v>17.008500000000002</v>
      </c>
      <c r="K89" s="130" t="s">
        <v>702</v>
      </c>
    </row>
    <row r="90" spans="1:11" ht="15" customHeight="1">
      <c r="A90" s="50"/>
      <c r="B90" s="33" t="s">
        <v>541</v>
      </c>
      <c r="C90" s="38"/>
      <c r="D90" s="128"/>
      <c r="E90" s="128" t="s">
        <v>577</v>
      </c>
      <c r="F90" s="128"/>
      <c r="G90" s="128"/>
      <c r="H90" s="128"/>
      <c r="I90" s="41"/>
      <c r="J90" s="129">
        <f>1*24*9*0.375</f>
        <v>81</v>
      </c>
      <c r="K90" s="130" t="s">
        <v>702</v>
      </c>
    </row>
    <row r="91" spans="1:11" ht="15" customHeight="1">
      <c r="A91" s="50"/>
      <c r="B91" s="33" t="s">
        <v>664</v>
      </c>
      <c r="C91" s="38"/>
      <c r="D91" s="128"/>
      <c r="E91" s="128" t="s">
        <v>550</v>
      </c>
      <c r="F91" s="128"/>
      <c r="G91" s="128"/>
      <c r="H91" s="128"/>
      <c r="I91" s="41"/>
      <c r="J91" s="129">
        <f>1*4*18*1.042</f>
        <v>75.024000000000001</v>
      </c>
      <c r="K91" s="130" t="s">
        <v>702</v>
      </c>
    </row>
    <row r="92" spans="1:11" ht="15" customHeight="1">
      <c r="A92" s="50"/>
      <c r="B92" s="8" t="s">
        <v>545</v>
      </c>
      <c r="C92" s="38"/>
      <c r="D92" s="128"/>
      <c r="E92" s="128" t="s">
        <v>518</v>
      </c>
      <c r="F92" s="128"/>
      <c r="G92" s="128"/>
      <c r="H92" s="128"/>
      <c r="I92" s="41"/>
      <c r="J92" s="129">
        <f>1*2*13.5*0.667</f>
        <v>18.009</v>
      </c>
      <c r="K92" s="130" t="s">
        <v>702</v>
      </c>
    </row>
    <row r="93" spans="1:11" ht="15" customHeight="1">
      <c r="A93" s="50"/>
      <c r="B93" s="33" t="s">
        <v>658</v>
      </c>
      <c r="C93" s="38"/>
      <c r="D93" s="128"/>
      <c r="E93" s="128" t="s">
        <v>578</v>
      </c>
      <c r="F93" s="128"/>
      <c r="G93" s="128"/>
      <c r="H93" s="128"/>
      <c r="I93" s="41"/>
      <c r="J93" s="129">
        <f>1*2*17*0.667</f>
        <v>22.678000000000001</v>
      </c>
      <c r="K93" s="130" t="s">
        <v>702</v>
      </c>
    </row>
    <row r="94" spans="1:11" ht="15" customHeight="1">
      <c r="A94" s="50"/>
      <c r="B94" s="33" t="s">
        <v>541</v>
      </c>
      <c r="C94" s="38"/>
      <c r="D94" s="128"/>
      <c r="E94" s="128" t="s">
        <v>579</v>
      </c>
      <c r="F94" s="128"/>
      <c r="G94" s="128"/>
      <c r="H94" s="128"/>
      <c r="I94" s="41"/>
      <c r="J94" s="129">
        <f>1*32*9*0.375</f>
        <v>108</v>
      </c>
      <c r="K94" s="130" t="s">
        <v>702</v>
      </c>
    </row>
    <row r="95" spans="1:11" ht="15" customHeight="1">
      <c r="A95" s="50"/>
      <c r="B95" s="33" t="s">
        <v>665</v>
      </c>
      <c r="C95" s="38"/>
      <c r="D95" s="128"/>
      <c r="E95" s="128" t="s">
        <v>521</v>
      </c>
      <c r="F95" s="128"/>
      <c r="G95" s="128"/>
      <c r="H95" s="128"/>
      <c r="I95" s="41"/>
      <c r="J95" s="129">
        <f>1*4*25.75*1.042</f>
        <v>107.32600000000001</v>
      </c>
      <c r="K95" s="130" t="s">
        <v>702</v>
      </c>
    </row>
    <row r="96" spans="1:11" ht="15" customHeight="1">
      <c r="A96" s="50"/>
      <c r="B96" s="8" t="s">
        <v>545</v>
      </c>
      <c r="C96" s="38"/>
      <c r="D96" s="128"/>
      <c r="E96" s="128" t="s">
        <v>522</v>
      </c>
      <c r="F96" s="128"/>
      <c r="G96" s="128"/>
      <c r="H96" s="128"/>
      <c r="I96" s="41"/>
      <c r="J96" s="129">
        <f>1*2*13.5*1.042</f>
        <v>28.134</v>
      </c>
      <c r="K96" s="130" t="s">
        <v>702</v>
      </c>
    </row>
    <row r="97" spans="1:11" ht="15" customHeight="1">
      <c r="A97" s="50"/>
      <c r="B97" s="8" t="s">
        <v>545</v>
      </c>
      <c r="C97" s="38"/>
      <c r="D97" s="128"/>
      <c r="E97" s="128" t="s">
        <v>518</v>
      </c>
      <c r="F97" s="128"/>
      <c r="G97" s="128"/>
      <c r="H97" s="128"/>
      <c r="I97" s="41"/>
      <c r="J97" s="129">
        <f>1*2*13.5*0.667</f>
        <v>18.009</v>
      </c>
      <c r="K97" s="130" t="s">
        <v>702</v>
      </c>
    </row>
    <row r="98" spans="1:11" ht="15" customHeight="1">
      <c r="A98" s="50"/>
      <c r="B98" s="33" t="s">
        <v>655</v>
      </c>
      <c r="C98" s="38"/>
      <c r="D98" s="128"/>
      <c r="E98" s="128" t="s">
        <v>580</v>
      </c>
      <c r="F98" s="128"/>
      <c r="G98" s="128"/>
      <c r="H98" s="128"/>
      <c r="I98" s="41"/>
      <c r="J98" s="129">
        <f>1*2*25*0.667</f>
        <v>33.35</v>
      </c>
      <c r="K98" s="130" t="s">
        <v>702</v>
      </c>
    </row>
    <row r="99" spans="1:11" ht="15" customHeight="1">
      <c r="A99" s="50"/>
      <c r="B99" s="33" t="s">
        <v>541</v>
      </c>
      <c r="C99" s="38"/>
      <c r="D99" s="128"/>
      <c r="E99" s="128" t="s">
        <v>581</v>
      </c>
      <c r="F99" s="128"/>
      <c r="G99" s="128"/>
      <c r="H99" s="128"/>
      <c r="I99" s="41"/>
      <c r="J99" s="129">
        <f>1*42*9*0.375</f>
        <v>141.75</v>
      </c>
      <c r="K99" s="130" t="s">
        <v>702</v>
      </c>
    </row>
    <row r="100" spans="1:11" ht="15" customHeight="1">
      <c r="A100" s="50"/>
      <c r="B100" s="33" t="s">
        <v>666</v>
      </c>
      <c r="C100" s="38"/>
      <c r="D100" s="128"/>
      <c r="E100" s="128" t="s">
        <v>524</v>
      </c>
      <c r="F100" s="128"/>
      <c r="G100" s="128"/>
      <c r="H100" s="128"/>
      <c r="I100" s="41"/>
      <c r="J100" s="129">
        <f>1*4*20*1.042</f>
        <v>83.36</v>
      </c>
      <c r="K100" s="130" t="s">
        <v>702</v>
      </c>
    </row>
    <row r="101" spans="1:11" ht="15" customHeight="1">
      <c r="A101" s="50"/>
      <c r="B101" s="8" t="s">
        <v>545</v>
      </c>
      <c r="C101" s="38"/>
      <c r="D101" s="128"/>
      <c r="E101" s="128" t="s">
        <v>582</v>
      </c>
      <c r="F101" s="128"/>
      <c r="G101" s="128"/>
      <c r="H101" s="128"/>
      <c r="I101" s="41"/>
      <c r="J101" s="129">
        <f>1*2*14.5*1.042</f>
        <v>30.218</v>
      </c>
      <c r="K101" s="130" t="s">
        <v>702</v>
      </c>
    </row>
    <row r="102" spans="1:11" ht="15" customHeight="1">
      <c r="A102" s="50"/>
      <c r="B102" s="33" t="s">
        <v>658</v>
      </c>
      <c r="C102" s="38"/>
      <c r="D102" s="128"/>
      <c r="E102" s="128" t="s">
        <v>583</v>
      </c>
      <c r="F102" s="128"/>
      <c r="G102" s="128"/>
      <c r="H102" s="128"/>
      <c r="I102" s="41"/>
      <c r="J102" s="129">
        <f>1*2*19*0.667</f>
        <v>25.346</v>
      </c>
      <c r="K102" s="130" t="s">
        <v>702</v>
      </c>
    </row>
    <row r="103" spans="1:11" ht="15" customHeight="1">
      <c r="A103" s="50"/>
      <c r="B103" s="33" t="s">
        <v>541</v>
      </c>
      <c r="C103" s="38"/>
      <c r="D103" s="128"/>
      <c r="E103" s="128" t="s">
        <v>526</v>
      </c>
      <c r="F103" s="128"/>
      <c r="G103" s="128"/>
      <c r="H103" s="128"/>
      <c r="I103" s="41"/>
      <c r="J103" s="129">
        <f>1*35*5*0.375</f>
        <v>65.625</v>
      </c>
      <c r="K103" s="130" t="s">
        <v>702</v>
      </c>
    </row>
    <row r="104" spans="1:11" ht="15" customHeight="1">
      <c r="A104" s="50"/>
      <c r="B104" s="33" t="s">
        <v>667</v>
      </c>
      <c r="C104" s="38"/>
      <c r="D104" s="128"/>
      <c r="E104" s="128" t="s">
        <v>527</v>
      </c>
      <c r="F104" s="128"/>
      <c r="G104" s="128"/>
      <c r="H104" s="128"/>
      <c r="I104" s="41"/>
      <c r="J104" s="129">
        <f>1*4*25*1.042</f>
        <v>104.2</v>
      </c>
      <c r="K104" s="130" t="s">
        <v>702</v>
      </c>
    </row>
    <row r="105" spans="1:11" ht="15" customHeight="1">
      <c r="A105" s="50"/>
      <c r="B105" s="33" t="s">
        <v>658</v>
      </c>
      <c r="C105" s="38"/>
      <c r="D105" s="128"/>
      <c r="E105" s="128" t="s">
        <v>584</v>
      </c>
      <c r="F105" s="128"/>
      <c r="G105" s="128"/>
      <c r="H105" s="128"/>
      <c r="I105" s="41"/>
      <c r="J105" s="129">
        <f>1*2*24*0.667</f>
        <v>32.016000000000005</v>
      </c>
      <c r="K105" s="130" t="s">
        <v>702</v>
      </c>
    </row>
    <row r="106" spans="1:11" ht="15" customHeight="1">
      <c r="A106" s="50"/>
      <c r="B106" s="33" t="s">
        <v>541</v>
      </c>
      <c r="C106" s="38"/>
      <c r="D106" s="128"/>
      <c r="E106" s="128" t="s">
        <v>585</v>
      </c>
      <c r="F106" s="128"/>
      <c r="G106" s="128"/>
      <c r="H106" s="128"/>
      <c r="I106" s="41"/>
      <c r="J106" s="129">
        <f>1*35*9*0.375</f>
        <v>118.125</v>
      </c>
      <c r="K106" s="130" t="s">
        <v>702</v>
      </c>
    </row>
    <row r="107" spans="1:11" ht="15" customHeight="1">
      <c r="A107" s="50"/>
      <c r="B107" s="33" t="s">
        <v>668</v>
      </c>
      <c r="C107" s="38"/>
      <c r="D107" s="128"/>
      <c r="E107" s="128" t="s">
        <v>529</v>
      </c>
      <c r="F107" s="128"/>
      <c r="G107" s="128"/>
      <c r="H107" s="128"/>
      <c r="I107" s="41"/>
      <c r="J107" s="129">
        <f>1*4*43*1.042</f>
        <v>179.22400000000002</v>
      </c>
      <c r="K107" s="130" t="s">
        <v>702</v>
      </c>
    </row>
    <row r="108" spans="1:11" ht="15" customHeight="1">
      <c r="A108" s="50"/>
      <c r="B108" s="8" t="s">
        <v>669</v>
      </c>
      <c r="C108" s="38"/>
      <c r="D108" s="128"/>
      <c r="E108" s="137" t="s">
        <v>586</v>
      </c>
      <c r="F108" s="128"/>
      <c r="G108" s="128"/>
      <c r="H108" s="128"/>
      <c r="I108" s="41"/>
      <c r="J108" s="129">
        <f>1*2*14*0.667</f>
        <v>18.676000000000002</v>
      </c>
      <c r="K108" s="130" t="s">
        <v>702</v>
      </c>
    </row>
    <row r="109" spans="1:11" ht="15" customHeight="1">
      <c r="A109" s="50"/>
      <c r="B109" s="33" t="s">
        <v>658</v>
      </c>
      <c r="C109" s="38"/>
      <c r="D109" s="128"/>
      <c r="E109" s="8" t="s">
        <v>670</v>
      </c>
      <c r="F109" s="128"/>
      <c r="G109" s="128"/>
      <c r="H109" s="128"/>
      <c r="I109" s="41"/>
      <c r="J109" s="129">
        <f>1*2*42*0.667</f>
        <v>56.028000000000006</v>
      </c>
      <c r="K109" s="130" t="s">
        <v>702</v>
      </c>
    </row>
    <row r="110" spans="1:11" ht="15" customHeight="1">
      <c r="A110" s="50"/>
      <c r="B110" s="33" t="s">
        <v>541</v>
      </c>
      <c r="C110" s="38"/>
      <c r="D110" s="128"/>
      <c r="E110" s="128" t="s">
        <v>587</v>
      </c>
      <c r="F110" s="128"/>
      <c r="G110" s="128"/>
      <c r="H110" s="128"/>
      <c r="I110" s="41"/>
      <c r="J110" s="129">
        <f>1*67*9*0.375</f>
        <v>226.125</v>
      </c>
      <c r="K110" s="130" t="s">
        <v>702</v>
      </c>
    </row>
    <row r="111" spans="1:11" ht="15" customHeight="1">
      <c r="A111" s="50"/>
      <c r="B111" s="33" t="s">
        <v>671</v>
      </c>
      <c r="C111" s="38"/>
      <c r="D111" s="128"/>
      <c r="E111" s="128" t="s">
        <v>531</v>
      </c>
      <c r="F111" s="128"/>
      <c r="G111" s="128"/>
      <c r="H111" s="128"/>
      <c r="I111" s="41"/>
      <c r="J111" s="129">
        <f>1*4*56.5*1.042</f>
        <v>235.49200000000002</v>
      </c>
      <c r="K111" s="130" t="s">
        <v>702</v>
      </c>
    </row>
    <row r="112" spans="1:11" ht="15" customHeight="1">
      <c r="A112" s="50"/>
      <c r="B112" s="8" t="s">
        <v>669</v>
      </c>
      <c r="C112" s="38"/>
      <c r="D112" s="128"/>
      <c r="E112" s="128" t="s">
        <v>532</v>
      </c>
      <c r="F112" s="128"/>
      <c r="G112" s="128"/>
      <c r="H112" s="128"/>
      <c r="I112" s="41"/>
      <c r="J112" s="129">
        <f>1*2*14*1.042</f>
        <v>29.176000000000002</v>
      </c>
      <c r="K112" s="130" t="s">
        <v>702</v>
      </c>
    </row>
    <row r="113" spans="1:11" ht="15" customHeight="1">
      <c r="A113" s="50"/>
      <c r="B113" s="33" t="s">
        <v>658</v>
      </c>
      <c r="C113" s="38"/>
      <c r="D113" s="128"/>
      <c r="E113" s="128" t="s">
        <v>588</v>
      </c>
      <c r="F113" s="128"/>
      <c r="G113" s="128"/>
      <c r="H113" s="128"/>
      <c r="I113" s="41"/>
      <c r="J113" s="129">
        <f>1*2*55*0.667</f>
        <v>73.37</v>
      </c>
      <c r="K113" s="130" t="s">
        <v>702</v>
      </c>
    </row>
    <row r="114" spans="1:11" ht="15" customHeight="1">
      <c r="A114" s="50"/>
      <c r="B114" s="33" t="s">
        <v>541</v>
      </c>
      <c r="C114" s="38"/>
      <c r="D114" s="128"/>
      <c r="E114" s="128" t="s">
        <v>672</v>
      </c>
      <c r="F114" s="128"/>
      <c r="G114" s="128"/>
      <c r="H114" s="128"/>
      <c r="I114" s="41"/>
      <c r="J114" s="129">
        <f>1*92*9*1.042</f>
        <v>862.77600000000007</v>
      </c>
      <c r="K114" s="130" t="s">
        <v>702</v>
      </c>
    </row>
    <row r="115" spans="1:11" ht="15" customHeight="1">
      <c r="A115" s="50"/>
      <c r="B115" s="33" t="s">
        <v>673</v>
      </c>
      <c r="C115" s="38"/>
      <c r="D115" s="128"/>
      <c r="E115" s="128" t="s">
        <v>589</v>
      </c>
      <c r="F115" s="128"/>
      <c r="G115" s="128"/>
      <c r="H115" s="128"/>
      <c r="I115" s="41"/>
      <c r="J115" s="129">
        <f>1*4*9*1.042</f>
        <v>37.512</v>
      </c>
      <c r="K115" s="130" t="s">
        <v>702</v>
      </c>
    </row>
    <row r="116" spans="1:11" ht="15" customHeight="1">
      <c r="A116" s="50"/>
      <c r="B116" s="33" t="s">
        <v>658</v>
      </c>
      <c r="C116" s="38"/>
      <c r="D116" s="128"/>
      <c r="E116" s="128" t="s">
        <v>590</v>
      </c>
      <c r="F116" s="128"/>
      <c r="G116" s="128"/>
      <c r="H116" s="128"/>
      <c r="I116" s="41"/>
      <c r="J116" s="129">
        <f>1*2*8*0.667</f>
        <v>10.672000000000001</v>
      </c>
      <c r="K116" s="130" t="s">
        <v>702</v>
      </c>
    </row>
    <row r="117" spans="1:11" ht="15" customHeight="1">
      <c r="A117" s="50"/>
      <c r="B117" s="33" t="s">
        <v>541</v>
      </c>
      <c r="C117" s="38"/>
      <c r="D117" s="128"/>
      <c r="E117" s="128" t="s">
        <v>591</v>
      </c>
      <c r="F117" s="128"/>
      <c r="G117" s="128"/>
      <c r="H117" s="128"/>
      <c r="I117" s="41"/>
      <c r="J117" s="129">
        <f>1*14*9*0.375</f>
        <v>47.25</v>
      </c>
      <c r="K117" s="130" t="s">
        <v>702</v>
      </c>
    </row>
    <row r="118" spans="1:11" ht="15" customHeight="1">
      <c r="A118" s="50"/>
      <c r="B118" s="33" t="s">
        <v>674</v>
      </c>
      <c r="C118" s="38"/>
      <c r="D118" s="128"/>
      <c r="E118" s="128" t="s">
        <v>592</v>
      </c>
      <c r="F118" s="128"/>
      <c r="G118" s="128"/>
      <c r="H118" s="128"/>
      <c r="I118" s="41"/>
      <c r="J118" s="129">
        <f>1*20*28.5*1.042</f>
        <v>593.94000000000005</v>
      </c>
      <c r="K118" s="130" t="s">
        <v>702</v>
      </c>
    </row>
    <row r="119" spans="1:11" ht="15" customHeight="1">
      <c r="A119" s="50"/>
      <c r="B119" s="33" t="s">
        <v>541</v>
      </c>
      <c r="C119" s="38"/>
      <c r="D119" s="128"/>
      <c r="E119" s="128" t="s">
        <v>593</v>
      </c>
      <c r="F119" s="128"/>
      <c r="G119" s="128"/>
      <c r="H119" s="128"/>
      <c r="I119" s="41"/>
      <c r="J119" s="129">
        <f>1*56*5.5*0.375</f>
        <v>115.5</v>
      </c>
      <c r="K119" s="130" t="s">
        <v>702</v>
      </c>
    </row>
    <row r="120" spans="1:11" ht="15" customHeight="1">
      <c r="A120" s="50"/>
      <c r="B120" s="33" t="s">
        <v>675</v>
      </c>
      <c r="C120" s="38"/>
      <c r="D120" s="128"/>
      <c r="E120" s="128" t="s">
        <v>594</v>
      </c>
      <c r="F120" s="128"/>
      <c r="G120" s="128"/>
      <c r="H120" s="128"/>
      <c r="I120" s="41"/>
      <c r="J120" s="131">
        <f>5*14*2.75*0.667</f>
        <v>128.39750000000001</v>
      </c>
      <c r="K120" s="130" t="s">
        <v>702</v>
      </c>
    </row>
    <row r="121" spans="1:11" ht="15" customHeight="1">
      <c r="A121" s="50"/>
      <c r="B121" s="8" t="s">
        <v>561</v>
      </c>
      <c r="C121" s="38"/>
      <c r="D121" s="128"/>
      <c r="E121" s="128" t="s">
        <v>595</v>
      </c>
      <c r="F121" s="128"/>
      <c r="G121" s="128"/>
      <c r="H121" s="128"/>
      <c r="I121" s="41"/>
      <c r="J121" s="129">
        <f>5*3*7.5*0.375</f>
        <v>42.1875</v>
      </c>
      <c r="K121" s="130" t="s">
        <v>702</v>
      </c>
    </row>
    <row r="122" spans="1:11" ht="15" customHeight="1">
      <c r="A122" s="50"/>
      <c r="B122" s="33" t="s">
        <v>676</v>
      </c>
      <c r="C122" s="38"/>
      <c r="D122" s="128"/>
      <c r="E122" s="128" t="s">
        <v>596</v>
      </c>
      <c r="F122" s="128"/>
      <c r="G122" s="128"/>
      <c r="H122" s="128"/>
      <c r="I122" s="41"/>
      <c r="J122" s="129">
        <f>1*10*2.75*0.667</f>
        <v>18.342500000000001</v>
      </c>
      <c r="K122" s="130" t="s">
        <v>702</v>
      </c>
    </row>
    <row r="123" spans="1:11" ht="15" customHeight="1">
      <c r="A123" s="50"/>
      <c r="B123" s="33" t="s">
        <v>561</v>
      </c>
      <c r="C123" s="38"/>
      <c r="D123" s="128"/>
      <c r="E123" s="128" t="s">
        <v>597</v>
      </c>
      <c r="F123" s="128"/>
      <c r="G123" s="128"/>
      <c r="H123" s="128"/>
      <c r="I123" s="41"/>
      <c r="J123" s="129">
        <f>1*3*5.5*0.375</f>
        <v>6.1875</v>
      </c>
      <c r="K123" s="130" t="s">
        <v>702</v>
      </c>
    </row>
    <row r="124" spans="1:11" ht="15" customHeight="1">
      <c r="A124" s="50"/>
      <c r="B124" s="33" t="s">
        <v>677</v>
      </c>
      <c r="C124" s="38"/>
      <c r="D124" s="128"/>
      <c r="E124" s="128" t="s">
        <v>598</v>
      </c>
      <c r="F124" s="128"/>
      <c r="G124" s="128"/>
      <c r="H124" s="128"/>
      <c r="I124" s="41"/>
      <c r="J124" s="129">
        <f>3*7*2.75*0.667</f>
        <v>38.51925</v>
      </c>
      <c r="K124" s="130" t="s">
        <v>702</v>
      </c>
    </row>
    <row r="125" spans="1:11" ht="15" customHeight="1">
      <c r="A125" s="50"/>
      <c r="B125" s="33" t="s">
        <v>561</v>
      </c>
      <c r="C125" s="38"/>
      <c r="D125" s="128"/>
      <c r="E125" s="128" t="s">
        <v>599</v>
      </c>
      <c r="F125" s="128"/>
      <c r="G125" s="128"/>
      <c r="H125" s="128"/>
      <c r="I125" s="41"/>
      <c r="J125" s="129">
        <f>3*3*3.5*0.375</f>
        <v>11.8125</v>
      </c>
      <c r="K125" s="130" t="s">
        <v>702</v>
      </c>
    </row>
    <row r="126" spans="1:11" ht="15" customHeight="1">
      <c r="A126" s="50"/>
      <c r="B126" s="33" t="s">
        <v>678</v>
      </c>
      <c r="C126" s="38"/>
      <c r="D126" s="128"/>
      <c r="E126" s="128" t="s">
        <v>600</v>
      </c>
      <c r="F126" s="128"/>
      <c r="G126" s="128"/>
      <c r="H126" s="128"/>
      <c r="I126" s="41"/>
      <c r="J126" s="129">
        <f>2*38*14.75*0.667</f>
        <v>747.70699999999999</v>
      </c>
      <c r="K126" s="130" t="s">
        <v>702</v>
      </c>
    </row>
    <row r="127" spans="1:11" ht="15" customHeight="1">
      <c r="A127" s="50"/>
      <c r="B127" s="33" t="s">
        <v>679</v>
      </c>
      <c r="C127" s="38"/>
      <c r="D127" s="128"/>
      <c r="E127" s="128" t="s">
        <v>601</v>
      </c>
      <c r="F127" s="128"/>
      <c r="G127" s="128"/>
      <c r="H127" s="128"/>
      <c r="I127" s="41"/>
      <c r="J127" s="129">
        <f>2*24*22.25*0.667</f>
        <v>712.35599999999999</v>
      </c>
      <c r="K127" s="130" t="s">
        <v>702</v>
      </c>
    </row>
    <row r="128" spans="1:11" ht="15" customHeight="1">
      <c r="A128" s="50"/>
      <c r="B128" s="33" t="s">
        <v>680</v>
      </c>
      <c r="C128" s="38"/>
      <c r="D128" s="128"/>
      <c r="E128" s="128" t="s">
        <v>602</v>
      </c>
      <c r="F128" s="128"/>
      <c r="G128" s="128"/>
      <c r="H128" s="128"/>
      <c r="I128" s="41"/>
      <c r="J128" s="129">
        <f>2*8*12*0.667</f>
        <v>128.06400000000002</v>
      </c>
      <c r="K128" s="130" t="s">
        <v>702</v>
      </c>
    </row>
    <row r="129" spans="1:11" ht="15" customHeight="1">
      <c r="A129" s="50"/>
      <c r="B129" s="33" t="s">
        <v>837</v>
      </c>
      <c r="C129" s="38"/>
      <c r="D129" s="128"/>
      <c r="E129" s="128" t="s">
        <v>603</v>
      </c>
      <c r="F129" s="128"/>
      <c r="G129" s="128"/>
      <c r="H129" s="128"/>
      <c r="I129" s="41"/>
      <c r="J129" s="129">
        <f>2*10*2.5*0.375</f>
        <v>18.75</v>
      </c>
      <c r="K129" s="130" t="s">
        <v>702</v>
      </c>
    </row>
    <row r="130" spans="1:11" ht="15" customHeight="1">
      <c r="A130" s="50"/>
      <c r="B130" s="33" t="s">
        <v>682</v>
      </c>
      <c r="C130" s="38"/>
      <c r="D130" s="128"/>
      <c r="E130" s="128" t="s">
        <v>604</v>
      </c>
      <c r="F130" s="128"/>
      <c r="G130" s="128"/>
      <c r="H130" s="128"/>
      <c r="I130" s="41"/>
      <c r="J130" s="129">
        <f>1*38*17.5*0.667</f>
        <v>443.55500000000001</v>
      </c>
      <c r="K130" s="130" t="s">
        <v>702</v>
      </c>
    </row>
    <row r="131" spans="1:11" ht="15" customHeight="1">
      <c r="A131" s="50"/>
      <c r="B131" s="33" t="s">
        <v>679</v>
      </c>
      <c r="C131" s="38"/>
      <c r="D131" s="128"/>
      <c r="E131" s="128" t="s">
        <v>605</v>
      </c>
      <c r="F131" s="128"/>
      <c r="G131" s="128"/>
      <c r="H131" s="128"/>
      <c r="I131" s="41"/>
      <c r="J131" s="129">
        <f>1*24*22*0.667</f>
        <v>352.17600000000004</v>
      </c>
      <c r="K131" s="130" t="s">
        <v>702</v>
      </c>
    </row>
    <row r="132" spans="1:11" ht="15" customHeight="1">
      <c r="A132" s="50"/>
      <c r="B132" s="33" t="s">
        <v>680</v>
      </c>
      <c r="C132" s="38"/>
      <c r="D132" s="128"/>
      <c r="E132" s="128" t="s">
        <v>606</v>
      </c>
      <c r="F132" s="128"/>
      <c r="G132" s="128"/>
      <c r="H132" s="128"/>
      <c r="I132" s="41"/>
      <c r="J132" s="129">
        <f>1*8*12*0.667</f>
        <v>64.032000000000011</v>
      </c>
      <c r="K132" s="130" t="s">
        <v>702</v>
      </c>
    </row>
    <row r="133" spans="1:11" ht="15" customHeight="1">
      <c r="A133" s="50"/>
      <c r="B133" s="33" t="s">
        <v>681</v>
      </c>
      <c r="C133" s="38"/>
      <c r="D133" s="128"/>
      <c r="E133" s="128" t="s">
        <v>607</v>
      </c>
      <c r="F133" s="128"/>
      <c r="G133" s="128"/>
      <c r="H133" s="128"/>
      <c r="I133" s="41"/>
      <c r="J133" s="129">
        <f>1*10*2.5*0.375</f>
        <v>9.375</v>
      </c>
      <c r="K133" s="130" t="s">
        <v>702</v>
      </c>
    </row>
    <row r="134" spans="1:11" ht="15" customHeight="1">
      <c r="A134" s="50"/>
      <c r="B134" s="33" t="s">
        <v>683</v>
      </c>
      <c r="C134" s="38"/>
      <c r="D134" s="128"/>
      <c r="E134" s="128" t="s">
        <v>608</v>
      </c>
      <c r="F134" s="128"/>
      <c r="G134" s="128"/>
      <c r="H134" s="128"/>
      <c r="I134" s="41"/>
      <c r="J134" s="129">
        <f>1*36*17.25*0.667</f>
        <v>414.20700000000005</v>
      </c>
      <c r="K134" s="130" t="s">
        <v>702</v>
      </c>
    </row>
    <row r="135" spans="1:11" ht="15" customHeight="1">
      <c r="A135" s="50"/>
      <c r="B135" s="33" t="s">
        <v>679</v>
      </c>
      <c r="C135" s="38"/>
      <c r="D135" s="128"/>
      <c r="E135" s="128" t="s">
        <v>609</v>
      </c>
      <c r="F135" s="128"/>
      <c r="G135" s="128"/>
      <c r="H135" s="128"/>
      <c r="I135" s="41"/>
      <c r="J135" s="129">
        <f>1*24*21*0.667</f>
        <v>336.16800000000001</v>
      </c>
      <c r="K135" s="130" t="s">
        <v>702</v>
      </c>
    </row>
    <row r="136" spans="1:11" ht="15" customHeight="1">
      <c r="A136" s="50"/>
      <c r="B136" s="33" t="s">
        <v>684</v>
      </c>
      <c r="C136" s="38"/>
      <c r="D136" s="128"/>
      <c r="E136" s="128" t="s">
        <v>686</v>
      </c>
      <c r="F136" s="128"/>
      <c r="G136" s="128"/>
      <c r="H136" s="128"/>
      <c r="I136" s="41"/>
      <c r="J136" s="129">
        <f>1*7*15*0.667</f>
        <v>70.035000000000011</v>
      </c>
      <c r="K136" s="130" t="s">
        <v>702</v>
      </c>
    </row>
    <row r="137" spans="1:11" ht="15" customHeight="1">
      <c r="A137" s="50"/>
      <c r="B137" s="33" t="s">
        <v>684</v>
      </c>
      <c r="C137" s="38"/>
      <c r="D137" s="128"/>
      <c r="E137" s="128" t="s">
        <v>606</v>
      </c>
      <c r="F137" s="128"/>
      <c r="G137" s="128"/>
      <c r="H137" s="128"/>
      <c r="I137" s="41"/>
      <c r="J137" s="129">
        <f>1*8*12*0.667</f>
        <v>64.032000000000011</v>
      </c>
      <c r="K137" s="130" t="s">
        <v>702</v>
      </c>
    </row>
    <row r="138" spans="1:11" ht="15" customHeight="1">
      <c r="A138" s="50"/>
      <c r="B138" s="33" t="s">
        <v>685</v>
      </c>
      <c r="C138" s="38"/>
      <c r="D138" s="128"/>
      <c r="E138" s="128" t="s">
        <v>610</v>
      </c>
      <c r="F138" s="128"/>
      <c r="G138" s="128"/>
      <c r="H138" s="128"/>
      <c r="I138" s="41"/>
      <c r="J138" s="129">
        <f>1*20*2.5*0.375</f>
        <v>18.75</v>
      </c>
      <c r="K138" s="130" t="s">
        <v>702</v>
      </c>
    </row>
    <row r="139" spans="1:11" ht="15" customHeight="1">
      <c r="A139" s="50"/>
      <c r="B139" s="33" t="s">
        <v>687</v>
      </c>
      <c r="C139" s="38"/>
      <c r="D139" s="128"/>
      <c r="E139" s="128" t="s">
        <v>611</v>
      </c>
      <c r="F139" s="128"/>
      <c r="G139" s="128"/>
      <c r="H139" s="128"/>
      <c r="I139" s="41"/>
      <c r="J139" s="129">
        <f>1*32*12.83*0.667</f>
        <v>273.84352000000001</v>
      </c>
      <c r="K139" s="130" t="s">
        <v>702</v>
      </c>
    </row>
    <row r="140" spans="1:11" ht="15" customHeight="1">
      <c r="A140" s="50"/>
      <c r="B140" s="33" t="s">
        <v>679</v>
      </c>
      <c r="C140" s="38"/>
      <c r="D140" s="128"/>
      <c r="E140" s="128" t="s">
        <v>612</v>
      </c>
      <c r="F140" s="128"/>
      <c r="G140" s="128"/>
      <c r="H140" s="128"/>
      <c r="I140" s="41"/>
      <c r="J140" s="129">
        <f>1*20*22.25*0.667</f>
        <v>296.815</v>
      </c>
      <c r="K140" s="130" t="s">
        <v>702</v>
      </c>
    </row>
    <row r="141" spans="1:11" ht="15" customHeight="1">
      <c r="A141" s="50"/>
      <c r="B141" s="33" t="s">
        <v>688</v>
      </c>
      <c r="C141" s="38"/>
      <c r="D141" s="128"/>
      <c r="E141" s="128" t="s">
        <v>613</v>
      </c>
      <c r="F141" s="128"/>
      <c r="G141" s="128"/>
      <c r="H141" s="128"/>
      <c r="I141" s="41"/>
      <c r="J141" s="129">
        <f>1*8*10*0.667</f>
        <v>53.36</v>
      </c>
      <c r="K141" s="130" t="s">
        <v>702</v>
      </c>
    </row>
    <row r="142" spans="1:11" ht="15" customHeight="1">
      <c r="A142" s="50"/>
      <c r="B142" s="33" t="s">
        <v>681</v>
      </c>
      <c r="C142" s="38"/>
      <c r="D142" s="128"/>
      <c r="E142" s="128" t="s">
        <v>614</v>
      </c>
      <c r="F142" s="128"/>
      <c r="G142" s="128"/>
      <c r="H142" s="128"/>
      <c r="I142" s="41"/>
      <c r="J142" s="129">
        <f>1*8*2.5*0.375</f>
        <v>7.5</v>
      </c>
      <c r="K142" s="130" t="s">
        <v>702</v>
      </c>
    </row>
    <row r="143" spans="1:11" ht="15" customHeight="1">
      <c r="A143" s="50"/>
      <c r="B143" s="33" t="s">
        <v>689</v>
      </c>
      <c r="C143" s="38"/>
      <c r="D143" s="128"/>
      <c r="E143" s="128" t="s">
        <v>615</v>
      </c>
      <c r="F143" s="128"/>
      <c r="G143" s="128"/>
      <c r="H143" s="128"/>
      <c r="I143" s="41"/>
      <c r="J143" s="129">
        <f>1*92*12.5*0.667</f>
        <v>767.05000000000007</v>
      </c>
      <c r="K143" s="130" t="s">
        <v>702</v>
      </c>
    </row>
    <row r="144" spans="1:11" ht="15" customHeight="1">
      <c r="A144" s="50"/>
      <c r="B144" s="33" t="s">
        <v>690</v>
      </c>
      <c r="C144" s="38"/>
      <c r="D144" s="128"/>
      <c r="E144" s="128" t="s">
        <v>616</v>
      </c>
      <c r="F144" s="128"/>
      <c r="G144" s="128"/>
      <c r="H144" s="128"/>
      <c r="I144" s="41"/>
      <c r="J144" s="129">
        <f>1*92*14.75*0.667</f>
        <v>905.11900000000003</v>
      </c>
      <c r="K144" s="130" t="s">
        <v>702</v>
      </c>
    </row>
    <row r="145" spans="1:19" ht="15" customHeight="1">
      <c r="A145" s="50"/>
      <c r="B145" s="33" t="s">
        <v>679</v>
      </c>
      <c r="C145" s="38"/>
      <c r="D145" s="128"/>
      <c r="E145" s="128" t="s">
        <v>617</v>
      </c>
      <c r="F145" s="128"/>
      <c r="G145" s="128"/>
      <c r="H145" s="128"/>
      <c r="I145" s="41"/>
      <c r="J145" s="129">
        <f>1*46*25.25*0.667</f>
        <v>774.72050000000002</v>
      </c>
      <c r="K145" s="130" t="s">
        <v>702</v>
      </c>
    </row>
    <row r="146" spans="1:19" ht="15" customHeight="1">
      <c r="A146" s="50"/>
      <c r="B146" s="33" t="s">
        <v>691</v>
      </c>
      <c r="C146" s="38"/>
      <c r="D146" s="128"/>
      <c r="E146" s="128" t="s">
        <v>618</v>
      </c>
      <c r="F146" s="128"/>
      <c r="G146" s="128"/>
      <c r="H146" s="128"/>
      <c r="I146" s="41"/>
      <c r="J146" s="129">
        <f>1*55*27.25*0.667</f>
        <v>999.6662500000001</v>
      </c>
      <c r="K146" s="130" t="s">
        <v>702</v>
      </c>
    </row>
    <row r="147" spans="1:19" ht="15" customHeight="1">
      <c r="A147" s="50"/>
      <c r="B147" s="33" t="s">
        <v>679</v>
      </c>
      <c r="C147" s="38"/>
      <c r="D147" s="128"/>
      <c r="E147" s="128" t="s">
        <v>619</v>
      </c>
      <c r="F147" s="128"/>
      <c r="G147" s="128"/>
      <c r="H147" s="128"/>
      <c r="I147" s="41"/>
      <c r="J147" s="129">
        <f>1*34*25*0.667</f>
        <v>566.95000000000005</v>
      </c>
      <c r="K147" s="130" t="s">
        <v>702</v>
      </c>
    </row>
    <row r="148" spans="1:19" ht="15" customHeight="1">
      <c r="A148" s="50"/>
      <c r="B148" s="33" t="s">
        <v>688</v>
      </c>
      <c r="C148" s="38"/>
      <c r="D148" s="128"/>
      <c r="E148" s="128" t="s">
        <v>620</v>
      </c>
      <c r="F148" s="128"/>
      <c r="G148" s="128"/>
      <c r="H148" s="128"/>
      <c r="I148" s="41"/>
      <c r="J148" s="129">
        <f>1*2*8*18*0.667</f>
        <v>192.096</v>
      </c>
      <c r="K148" s="130" t="s">
        <v>702</v>
      </c>
    </row>
    <row r="149" spans="1:19" ht="15" customHeight="1">
      <c r="A149" s="50"/>
      <c r="B149" s="33" t="s">
        <v>680</v>
      </c>
      <c r="C149" s="38"/>
      <c r="D149" s="128"/>
      <c r="E149" s="128" t="s">
        <v>621</v>
      </c>
      <c r="F149" s="128"/>
      <c r="G149" s="128"/>
      <c r="H149" s="128"/>
      <c r="I149" s="41"/>
      <c r="J149" s="129">
        <f>1*1*9*15*0.667</f>
        <v>90.045000000000002</v>
      </c>
      <c r="K149" s="130" t="s">
        <v>702</v>
      </c>
    </row>
    <row r="150" spans="1:19" ht="15" customHeight="1">
      <c r="A150" s="50"/>
      <c r="B150" s="33" t="s">
        <v>837</v>
      </c>
      <c r="C150" s="38"/>
      <c r="D150" s="128"/>
      <c r="E150" s="128" t="s">
        <v>622</v>
      </c>
      <c r="F150" s="128"/>
      <c r="G150" s="128"/>
      <c r="H150" s="128"/>
      <c r="I150" s="41"/>
      <c r="J150" s="129">
        <f>1*40*2.5*0.375</f>
        <v>37.5</v>
      </c>
      <c r="K150" s="130" t="s">
        <v>702</v>
      </c>
    </row>
    <row r="151" spans="1:19" ht="15" customHeight="1">
      <c r="A151" s="50"/>
      <c r="B151" s="33" t="s">
        <v>692</v>
      </c>
      <c r="C151" s="38"/>
      <c r="D151" s="128"/>
      <c r="E151" s="128" t="s">
        <v>623</v>
      </c>
      <c r="F151" s="128"/>
      <c r="G151" s="128"/>
      <c r="H151" s="128"/>
      <c r="I151" s="41"/>
      <c r="J151" s="129">
        <f>1*41*7*0.667</f>
        <v>191.429</v>
      </c>
      <c r="K151" s="130" t="s">
        <v>702</v>
      </c>
    </row>
    <row r="152" spans="1:19" ht="15" customHeight="1">
      <c r="A152" s="50"/>
      <c r="B152" s="33" t="s">
        <v>561</v>
      </c>
      <c r="C152" s="38"/>
      <c r="D152" s="128"/>
      <c r="E152" s="128" t="s">
        <v>624</v>
      </c>
      <c r="F152" s="128"/>
      <c r="G152" s="128"/>
      <c r="H152" s="128"/>
      <c r="I152" s="41"/>
      <c r="J152" s="129">
        <f>1*14*17*0.375</f>
        <v>89.25</v>
      </c>
      <c r="K152" s="130" t="s">
        <v>702</v>
      </c>
    </row>
    <row r="153" spans="1:19" ht="15" customHeight="1">
      <c r="A153" s="50"/>
      <c r="B153" s="33" t="s">
        <v>837</v>
      </c>
      <c r="C153" s="38"/>
      <c r="D153" s="128"/>
      <c r="E153" s="128" t="s">
        <v>625</v>
      </c>
      <c r="F153" s="128"/>
      <c r="G153" s="128"/>
      <c r="H153" s="128"/>
      <c r="I153" s="41"/>
      <c r="J153" s="129">
        <f>1*16*2.5*0.375</f>
        <v>15</v>
      </c>
      <c r="K153" s="130" t="s">
        <v>702</v>
      </c>
    </row>
    <row r="154" spans="1:19" ht="15" customHeight="1">
      <c r="A154" s="50"/>
      <c r="B154" s="33" t="s">
        <v>693</v>
      </c>
      <c r="C154" s="38"/>
      <c r="D154" s="128"/>
      <c r="E154" s="128" t="s">
        <v>626</v>
      </c>
      <c r="F154" s="128"/>
      <c r="G154" s="128"/>
      <c r="H154" s="128"/>
      <c r="I154" s="41"/>
      <c r="J154" s="129">
        <f>1*55*25.25*0.667</f>
        <v>926.2962500000001</v>
      </c>
      <c r="K154" s="130" t="s">
        <v>702</v>
      </c>
    </row>
    <row r="155" spans="1:19" ht="15" customHeight="1">
      <c r="A155" s="50"/>
      <c r="B155" s="33" t="s">
        <v>679</v>
      </c>
      <c r="C155" s="38"/>
      <c r="D155" s="128"/>
      <c r="E155" s="128" t="s">
        <v>627</v>
      </c>
      <c r="F155" s="128"/>
      <c r="G155" s="128"/>
      <c r="H155" s="128"/>
      <c r="I155" s="41"/>
      <c r="J155" s="129">
        <f>1*32*24.5*0.667</f>
        <v>522.928</v>
      </c>
      <c r="K155" s="130" t="s">
        <v>702</v>
      </c>
      <c r="L155" s="36"/>
      <c r="M155" s="36"/>
      <c r="N155" s="36"/>
      <c r="O155" s="36"/>
      <c r="P155" s="36"/>
      <c r="Q155" s="36"/>
      <c r="R155" s="36"/>
      <c r="S155" s="36"/>
    </row>
    <row r="156" spans="1:19" ht="15" customHeight="1">
      <c r="A156" s="50"/>
      <c r="B156" s="33" t="s">
        <v>684</v>
      </c>
      <c r="C156" s="38"/>
      <c r="D156" s="128"/>
      <c r="E156" s="128" t="s">
        <v>620</v>
      </c>
      <c r="F156" s="128"/>
      <c r="G156" s="128"/>
      <c r="H156" s="128"/>
      <c r="I156" s="41"/>
      <c r="J156" s="129">
        <f>1*2*18*0.667</f>
        <v>24.012</v>
      </c>
      <c r="K156" s="130" t="s">
        <v>702</v>
      </c>
      <c r="L156" s="36"/>
      <c r="M156" s="36"/>
      <c r="N156" s="36"/>
      <c r="O156" s="36"/>
      <c r="P156" s="36"/>
      <c r="Q156" s="36"/>
      <c r="R156" s="36"/>
      <c r="S156" s="36"/>
    </row>
    <row r="157" spans="1:19" ht="15" customHeight="1">
      <c r="A157" s="50"/>
      <c r="B157" s="33" t="s">
        <v>684</v>
      </c>
      <c r="C157" s="38"/>
      <c r="D157" s="128"/>
      <c r="E157" s="128" t="s">
        <v>628</v>
      </c>
      <c r="F157" s="128"/>
      <c r="G157" s="128"/>
      <c r="H157" s="128"/>
      <c r="I157" s="41"/>
      <c r="J157" s="129">
        <f>1*1*9*16*0.667</f>
        <v>96.048000000000002</v>
      </c>
      <c r="K157" s="130" t="s">
        <v>702</v>
      </c>
      <c r="L157" s="36"/>
      <c r="M157" s="36"/>
      <c r="N157" s="36"/>
      <c r="O157" s="36"/>
      <c r="P157" s="36"/>
      <c r="Q157" s="36"/>
      <c r="R157" s="36"/>
      <c r="S157" s="36"/>
    </row>
    <row r="158" spans="1:19" ht="15" customHeight="1">
      <c r="A158" s="50"/>
      <c r="B158" s="33" t="s">
        <v>838</v>
      </c>
      <c r="C158" s="38"/>
      <c r="D158" s="128"/>
      <c r="E158" s="128" t="s">
        <v>622</v>
      </c>
      <c r="F158" s="128"/>
      <c r="G158" s="128"/>
      <c r="H158" s="128"/>
      <c r="I158" s="41"/>
      <c r="J158" s="129">
        <f>1*40*2.5*0.375</f>
        <v>37.5</v>
      </c>
      <c r="K158" s="130" t="s">
        <v>702</v>
      </c>
      <c r="L158" s="36"/>
      <c r="M158" s="36"/>
      <c r="N158" s="36"/>
      <c r="O158" s="36"/>
      <c r="P158" s="36"/>
      <c r="Q158" s="36"/>
      <c r="R158" s="36"/>
      <c r="S158" s="36"/>
    </row>
    <row r="159" spans="1:19" ht="15" customHeight="1">
      <c r="A159" s="50"/>
      <c r="B159" s="33" t="s">
        <v>694</v>
      </c>
      <c r="C159" s="38"/>
      <c r="D159" s="128"/>
      <c r="E159" s="128" t="s">
        <v>629</v>
      </c>
      <c r="F159" s="128"/>
      <c r="G159" s="128"/>
      <c r="H159" s="128"/>
      <c r="I159" s="41"/>
      <c r="J159" s="129">
        <f>2*32*8.83*0.667</f>
        <v>376.93504000000001</v>
      </c>
      <c r="K159" s="130" t="s">
        <v>702</v>
      </c>
      <c r="L159" s="36"/>
      <c r="M159" s="36"/>
      <c r="N159" s="36"/>
      <c r="O159" s="36"/>
      <c r="P159" s="36"/>
      <c r="Q159" s="36"/>
      <c r="R159" s="36"/>
      <c r="S159" s="36"/>
    </row>
    <row r="160" spans="1:19" ht="15" customHeight="1">
      <c r="A160" s="50"/>
      <c r="B160" s="33" t="s">
        <v>679</v>
      </c>
      <c r="C160" s="38"/>
      <c r="D160" s="128"/>
      <c r="E160" s="8" t="s">
        <v>630</v>
      </c>
      <c r="F160" s="128"/>
      <c r="G160" s="128"/>
      <c r="H160" s="128"/>
      <c r="I160" s="41"/>
      <c r="J160" s="131">
        <f>2*12*22*0.667</f>
        <v>352.17600000000004</v>
      </c>
      <c r="K160" s="130" t="s">
        <v>702</v>
      </c>
      <c r="L160" s="36"/>
      <c r="M160" s="36"/>
      <c r="N160" s="36"/>
      <c r="O160" s="36"/>
      <c r="P160" s="36"/>
      <c r="Q160" s="36"/>
      <c r="R160" s="36"/>
      <c r="S160" s="36"/>
    </row>
    <row r="161" spans="1:19" ht="15" customHeight="1">
      <c r="A161" s="50"/>
      <c r="B161" s="33" t="s">
        <v>680</v>
      </c>
      <c r="C161" s="38"/>
      <c r="D161" s="128"/>
      <c r="E161" s="128" t="s">
        <v>631</v>
      </c>
      <c r="F161" s="128"/>
      <c r="G161" s="128"/>
      <c r="H161" s="128"/>
      <c r="I161" s="41"/>
      <c r="J161" s="129">
        <f>2*8*6*0.667</f>
        <v>64.032000000000011</v>
      </c>
      <c r="K161" s="130" t="s">
        <v>702</v>
      </c>
      <c r="L161" s="36"/>
      <c r="M161" s="28"/>
      <c r="N161" s="36"/>
      <c r="O161" s="36"/>
      <c r="P161" s="28"/>
      <c r="Q161" s="28"/>
      <c r="R161" s="36"/>
      <c r="S161" s="36"/>
    </row>
    <row r="162" spans="1:19" ht="15" customHeight="1">
      <c r="A162" s="50"/>
      <c r="B162" s="33" t="s">
        <v>837</v>
      </c>
      <c r="C162" s="38"/>
      <c r="D162" s="128"/>
      <c r="E162" s="128" t="s">
        <v>632</v>
      </c>
      <c r="F162" s="128"/>
      <c r="G162" s="128"/>
      <c r="H162" s="128"/>
      <c r="I162" s="41"/>
      <c r="J162" s="129">
        <f>2*8*2.5*0.375</f>
        <v>15</v>
      </c>
      <c r="K162" s="130" t="s">
        <v>702</v>
      </c>
      <c r="L162" s="36"/>
      <c r="M162" s="36"/>
      <c r="N162" s="36"/>
      <c r="O162" s="36"/>
      <c r="P162" s="36"/>
      <c r="Q162" s="36"/>
      <c r="R162" s="36"/>
      <c r="S162" s="36"/>
    </row>
    <row r="163" spans="1:19" ht="15" customHeight="1">
      <c r="A163" s="50"/>
      <c r="B163" s="33" t="s">
        <v>695</v>
      </c>
      <c r="C163" s="38"/>
      <c r="D163" s="128"/>
      <c r="E163" s="128" t="s">
        <v>633</v>
      </c>
      <c r="F163" s="128"/>
      <c r="G163" s="128"/>
      <c r="H163" s="128"/>
      <c r="I163" s="41"/>
      <c r="J163" s="129">
        <f>1*25*12.25*0.667</f>
        <v>204.26875000000001</v>
      </c>
      <c r="K163" s="130" t="s">
        <v>702</v>
      </c>
      <c r="L163" s="36"/>
      <c r="M163" s="36"/>
      <c r="N163" s="36"/>
      <c r="O163" s="36"/>
      <c r="P163" s="36"/>
      <c r="Q163" s="36"/>
      <c r="R163" s="36"/>
      <c r="S163" s="36"/>
    </row>
    <row r="164" spans="1:19" ht="15" customHeight="1">
      <c r="A164" s="50"/>
      <c r="B164" s="33" t="s">
        <v>679</v>
      </c>
      <c r="C164" s="38"/>
      <c r="D164" s="128"/>
      <c r="E164" s="128" t="s">
        <v>634</v>
      </c>
      <c r="F164" s="128"/>
      <c r="G164" s="128"/>
      <c r="H164" s="128"/>
      <c r="I164" s="41"/>
      <c r="J164" s="129">
        <f>1*16*17.75*0.667</f>
        <v>189.428</v>
      </c>
      <c r="K164" s="130" t="s">
        <v>702</v>
      </c>
      <c r="L164" s="36"/>
      <c r="M164" s="36"/>
      <c r="N164" s="36"/>
      <c r="O164" s="36"/>
      <c r="P164" s="36"/>
      <c r="Q164" s="36"/>
      <c r="R164" s="36"/>
      <c r="S164" s="36"/>
    </row>
    <row r="165" spans="1:19" ht="15" customHeight="1">
      <c r="A165" s="50"/>
      <c r="B165" s="33" t="s">
        <v>684</v>
      </c>
      <c r="C165" s="38"/>
      <c r="D165" s="128"/>
      <c r="E165" s="128" t="s">
        <v>635</v>
      </c>
      <c r="F165" s="128"/>
      <c r="G165" s="128"/>
      <c r="H165" s="128"/>
      <c r="I165" s="41"/>
      <c r="J165" s="129">
        <f>1*4*12*0.667</f>
        <v>32.016000000000005</v>
      </c>
      <c r="K165" s="130" t="s">
        <v>702</v>
      </c>
      <c r="L165" s="36"/>
      <c r="M165" s="36"/>
      <c r="N165" s="36"/>
      <c r="O165" s="36"/>
      <c r="P165" s="36"/>
      <c r="Q165" s="36"/>
      <c r="R165" s="36"/>
      <c r="S165" s="36"/>
    </row>
    <row r="166" spans="1:19" ht="15" customHeight="1">
      <c r="A166" s="50"/>
      <c r="B166" s="33" t="s">
        <v>684</v>
      </c>
      <c r="C166" s="38"/>
      <c r="D166" s="128"/>
      <c r="E166" s="128" t="s">
        <v>636</v>
      </c>
      <c r="F166" s="128"/>
      <c r="G166" s="128"/>
      <c r="H166" s="128"/>
      <c r="I166" s="41"/>
      <c r="J166" s="129">
        <f>1*6*8*0.667</f>
        <v>32.016000000000005</v>
      </c>
      <c r="K166" s="130" t="s">
        <v>702</v>
      </c>
      <c r="L166" s="13"/>
    </row>
    <row r="167" spans="1:19" ht="15" customHeight="1">
      <c r="A167" s="50"/>
      <c r="B167" s="33" t="s">
        <v>838</v>
      </c>
      <c r="C167" s="38"/>
      <c r="D167" s="128"/>
      <c r="E167" s="128" t="s">
        <v>637</v>
      </c>
      <c r="F167" s="128"/>
      <c r="G167" s="128"/>
      <c r="H167" s="128"/>
      <c r="I167" s="41"/>
      <c r="J167" s="131">
        <f>1*14*2.5*0.375</f>
        <v>13.125</v>
      </c>
      <c r="K167" s="130" t="s">
        <v>702</v>
      </c>
      <c r="L167" s="13"/>
    </row>
    <row r="168" spans="1:19" ht="15" customHeight="1">
      <c r="A168" s="50"/>
      <c r="B168" s="33" t="s">
        <v>696</v>
      </c>
      <c r="C168" s="38"/>
      <c r="D168" s="128"/>
      <c r="E168" s="128" t="s">
        <v>638</v>
      </c>
      <c r="F168" s="128"/>
      <c r="G168" s="128"/>
      <c r="H168" s="128"/>
      <c r="I168" s="41"/>
      <c r="J168" s="129">
        <f>1*12*9.5*0.667</f>
        <v>76.038000000000011</v>
      </c>
      <c r="K168" s="130" t="s">
        <v>702</v>
      </c>
      <c r="L168" s="13"/>
    </row>
    <row r="169" spans="1:19" ht="15" customHeight="1">
      <c r="A169" s="50"/>
      <c r="B169" s="33" t="s">
        <v>679</v>
      </c>
      <c r="C169" s="38"/>
      <c r="D169" s="128"/>
      <c r="E169" s="128" t="s">
        <v>639</v>
      </c>
      <c r="F169" s="128"/>
      <c r="G169" s="128"/>
      <c r="H169" s="128"/>
      <c r="I169" s="41"/>
      <c r="J169" s="129">
        <f>1*12*10*0.667</f>
        <v>80.040000000000006</v>
      </c>
      <c r="K169" s="130" t="s">
        <v>702</v>
      </c>
      <c r="L169" s="13"/>
    </row>
    <row r="170" spans="1:19" ht="15" customHeight="1">
      <c r="A170" s="50"/>
      <c r="B170" s="33" t="s">
        <v>684</v>
      </c>
      <c r="C170" s="38"/>
      <c r="D170" s="128"/>
      <c r="E170" s="128" t="s">
        <v>640</v>
      </c>
      <c r="F170" s="128"/>
      <c r="G170" s="128"/>
      <c r="H170" s="128"/>
      <c r="I170" s="41"/>
      <c r="J170" s="129">
        <f>1*2*3*5*0.667</f>
        <v>20.010000000000002</v>
      </c>
      <c r="K170" s="130" t="s">
        <v>702</v>
      </c>
      <c r="L170" s="13"/>
    </row>
    <row r="171" spans="1:19" ht="15" customHeight="1">
      <c r="A171" s="50"/>
      <c r="B171" s="33" t="s">
        <v>838</v>
      </c>
      <c r="C171" s="38"/>
      <c r="D171" s="128"/>
      <c r="E171" s="128" t="s">
        <v>614</v>
      </c>
      <c r="F171" s="128"/>
      <c r="G171" s="128"/>
      <c r="H171" s="128"/>
      <c r="I171" s="41"/>
      <c r="J171" s="129">
        <f>1*8*2.5*0.375</f>
        <v>7.5</v>
      </c>
      <c r="K171" s="130" t="s">
        <v>702</v>
      </c>
      <c r="L171" s="13"/>
    </row>
    <row r="172" spans="1:19" ht="15" customHeight="1">
      <c r="A172" s="50"/>
      <c r="B172" s="33" t="s">
        <v>697</v>
      </c>
      <c r="C172" s="38"/>
      <c r="D172" s="128"/>
      <c r="E172" s="128" t="s">
        <v>641</v>
      </c>
      <c r="F172" s="128"/>
      <c r="G172" s="128"/>
      <c r="H172" s="128"/>
      <c r="I172" s="41"/>
      <c r="J172" s="129">
        <f>1*80*9*0.667</f>
        <v>480.24</v>
      </c>
      <c r="K172" s="130" t="s">
        <v>702</v>
      </c>
      <c r="L172" s="13"/>
    </row>
    <row r="173" spans="1:19" ht="15" customHeight="1">
      <c r="A173" s="50"/>
      <c r="B173" s="33" t="s">
        <v>679</v>
      </c>
      <c r="C173" s="38"/>
      <c r="D173" s="128"/>
      <c r="E173" s="128" t="s">
        <v>642</v>
      </c>
      <c r="F173" s="128"/>
      <c r="G173" s="128"/>
      <c r="H173" s="128"/>
      <c r="I173" s="41"/>
      <c r="J173" s="129">
        <f>1*18*40*0.375</f>
        <v>270</v>
      </c>
      <c r="K173" s="130" t="s">
        <v>702</v>
      </c>
      <c r="L173" s="13"/>
    </row>
    <row r="174" spans="1:19" ht="15" customHeight="1">
      <c r="A174" s="50"/>
      <c r="B174" s="33" t="s">
        <v>838</v>
      </c>
      <c r="C174" s="38"/>
      <c r="D174" s="128"/>
      <c r="E174" s="128" t="s">
        <v>643</v>
      </c>
      <c r="F174" s="128"/>
      <c r="G174" s="128"/>
      <c r="H174" s="128"/>
      <c r="I174" s="41"/>
      <c r="J174" s="129">
        <f>1*60*2.5*0.375</f>
        <v>56.25</v>
      </c>
      <c r="K174" s="130" t="s">
        <v>702</v>
      </c>
      <c r="L174" s="13"/>
    </row>
    <row r="175" spans="1:19" ht="15" customHeight="1">
      <c r="A175" s="50"/>
      <c r="B175" s="33" t="s">
        <v>698</v>
      </c>
      <c r="C175" s="38"/>
      <c r="D175" s="128"/>
      <c r="E175" s="128" t="s">
        <v>644</v>
      </c>
      <c r="F175" s="128"/>
      <c r="G175" s="128"/>
      <c r="H175" s="128"/>
      <c r="I175" s="41"/>
      <c r="J175" s="129">
        <f>1*32*9*0.667</f>
        <v>192.096</v>
      </c>
      <c r="K175" s="130" t="s">
        <v>702</v>
      </c>
      <c r="L175" s="13"/>
    </row>
    <row r="176" spans="1:19" ht="15" customHeight="1">
      <c r="A176" s="50"/>
      <c r="B176" s="33" t="s">
        <v>679</v>
      </c>
      <c r="C176" s="38"/>
      <c r="D176" s="128"/>
      <c r="E176" s="128" t="s">
        <v>645</v>
      </c>
      <c r="F176" s="128"/>
      <c r="G176" s="128"/>
      <c r="H176" s="128"/>
      <c r="I176" s="41"/>
      <c r="J176" s="129">
        <f>1*18*16*0.375</f>
        <v>108</v>
      </c>
      <c r="K176" s="130" t="s">
        <v>702</v>
      </c>
      <c r="L176" s="13"/>
    </row>
    <row r="177" spans="1:12" ht="15" customHeight="1">
      <c r="A177" s="50"/>
      <c r="B177" s="33" t="s">
        <v>838</v>
      </c>
      <c r="C177" s="38"/>
      <c r="D177" s="128"/>
      <c r="E177" s="128" t="s">
        <v>646</v>
      </c>
      <c r="F177" s="128"/>
      <c r="G177" s="128"/>
      <c r="H177" s="128"/>
      <c r="I177" s="41"/>
      <c r="J177" s="129">
        <f>1*54*2.5*0.375</f>
        <v>50.625</v>
      </c>
      <c r="K177" s="130" t="s">
        <v>702</v>
      </c>
      <c r="L177" s="13"/>
    </row>
    <row r="178" spans="1:12" ht="15" customHeight="1">
      <c r="A178" s="50"/>
      <c r="B178" s="33" t="s">
        <v>699</v>
      </c>
      <c r="C178" s="38"/>
      <c r="D178" s="128"/>
      <c r="E178" s="128" t="s">
        <v>647</v>
      </c>
      <c r="F178" s="128"/>
      <c r="G178" s="128"/>
      <c r="H178" s="128"/>
      <c r="I178" s="41"/>
      <c r="J178" s="129">
        <f>4*32*7*0.667</f>
        <v>597.63200000000006</v>
      </c>
      <c r="K178" s="130" t="s">
        <v>702</v>
      </c>
      <c r="L178" s="13"/>
    </row>
    <row r="179" spans="1:12" ht="15" customHeight="1">
      <c r="A179" s="50"/>
      <c r="B179" s="33" t="s">
        <v>679</v>
      </c>
      <c r="C179" s="38"/>
      <c r="D179" s="128"/>
      <c r="E179" s="128" t="s">
        <v>648</v>
      </c>
      <c r="F179" s="128"/>
      <c r="G179" s="128"/>
      <c r="H179" s="128"/>
      <c r="I179" s="41"/>
      <c r="J179" s="129">
        <f>4*14*15*0.375</f>
        <v>315</v>
      </c>
      <c r="K179" s="130" t="s">
        <v>702</v>
      </c>
      <c r="L179" s="13"/>
    </row>
    <row r="180" spans="1:12" ht="15" customHeight="1">
      <c r="A180" s="50"/>
      <c r="B180" s="33" t="s">
        <v>838</v>
      </c>
      <c r="C180" s="38"/>
      <c r="D180" s="128"/>
      <c r="E180" s="128" t="s">
        <v>649</v>
      </c>
      <c r="F180" s="128"/>
      <c r="G180" s="128"/>
      <c r="H180" s="128"/>
      <c r="I180" s="41"/>
      <c r="J180" s="129">
        <f>4*20*2.5*0.375</f>
        <v>75</v>
      </c>
      <c r="K180" s="130" t="s">
        <v>702</v>
      </c>
      <c r="L180" s="13"/>
    </row>
    <row r="181" spans="1:12" ht="15" customHeight="1">
      <c r="A181" s="50"/>
      <c r="B181" s="33" t="s">
        <v>700</v>
      </c>
      <c r="C181" s="38"/>
      <c r="D181" s="128"/>
      <c r="E181" s="128" t="s">
        <v>650</v>
      </c>
      <c r="F181" s="128"/>
      <c r="G181" s="128"/>
      <c r="H181" s="128"/>
      <c r="I181" s="41"/>
      <c r="J181" s="129">
        <f>1*46*9*0.667</f>
        <v>276.13800000000003</v>
      </c>
      <c r="K181" s="130" t="s">
        <v>702</v>
      </c>
      <c r="L181" s="13"/>
    </row>
    <row r="182" spans="1:12" ht="15" customHeight="1">
      <c r="A182" s="50"/>
      <c r="B182" s="33" t="s">
        <v>679</v>
      </c>
      <c r="C182" s="38"/>
      <c r="D182" s="128"/>
      <c r="E182" s="128" t="s">
        <v>651</v>
      </c>
      <c r="F182" s="128"/>
      <c r="G182" s="128"/>
      <c r="H182" s="128"/>
      <c r="I182" s="41"/>
      <c r="J182" s="129">
        <f>1*18*22*0.375</f>
        <v>148.5</v>
      </c>
      <c r="K182" s="130" t="s">
        <v>702</v>
      </c>
      <c r="L182" s="13"/>
    </row>
    <row r="183" spans="1:12" ht="15" customHeight="1">
      <c r="A183" s="50"/>
      <c r="B183" s="33" t="s">
        <v>838</v>
      </c>
      <c r="C183" s="38"/>
      <c r="D183" s="128"/>
      <c r="E183" s="128" t="s">
        <v>622</v>
      </c>
      <c r="F183" s="128"/>
      <c r="G183" s="128"/>
      <c r="H183" s="128"/>
      <c r="I183" s="41"/>
      <c r="J183" s="129">
        <f>1*40*2.5*0.375</f>
        <v>37.5</v>
      </c>
      <c r="K183" s="130" t="s">
        <v>702</v>
      </c>
      <c r="L183" s="13"/>
    </row>
    <row r="184" spans="1:12" ht="15" customHeight="1">
      <c r="A184" s="50"/>
      <c r="B184" s="33" t="s">
        <v>701</v>
      </c>
      <c r="C184" s="38"/>
      <c r="D184" s="128"/>
      <c r="E184" s="128" t="s">
        <v>652</v>
      </c>
      <c r="F184" s="128"/>
      <c r="G184" s="128"/>
      <c r="H184" s="128"/>
      <c r="I184" s="41"/>
      <c r="J184" s="129">
        <f>1*24*9*0.667</f>
        <v>144.072</v>
      </c>
      <c r="K184" s="130" t="s">
        <v>702</v>
      </c>
      <c r="L184" s="13"/>
    </row>
    <row r="185" spans="1:12" ht="15" customHeight="1">
      <c r="A185" s="50"/>
      <c r="B185" s="33" t="s">
        <v>679</v>
      </c>
      <c r="C185" s="38"/>
      <c r="D185" s="128"/>
      <c r="E185" s="128" t="s">
        <v>653</v>
      </c>
      <c r="F185" s="128"/>
      <c r="G185" s="128"/>
      <c r="H185" s="128"/>
      <c r="I185" s="41"/>
      <c r="J185" s="129">
        <f>1*18*12*0.375</f>
        <v>81</v>
      </c>
      <c r="K185" s="130" t="s">
        <v>702</v>
      </c>
      <c r="L185" s="13"/>
    </row>
    <row r="186" spans="1:12" ht="15" customHeight="1">
      <c r="A186" s="50"/>
      <c r="B186" s="33" t="s">
        <v>838</v>
      </c>
      <c r="C186" s="38"/>
      <c r="D186" s="128"/>
      <c r="E186" s="128" t="s">
        <v>637</v>
      </c>
      <c r="F186" s="128"/>
      <c r="G186" s="128"/>
      <c r="H186" s="128"/>
      <c r="I186" s="41"/>
      <c r="J186" s="129">
        <f>1*14*2.5*0.375</f>
        <v>13.125</v>
      </c>
      <c r="K186" s="130" t="s">
        <v>702</v>
      </c>
      <c r="L186" s="13"/>
    </row>
    <row r="187" spans="1:12" ht="15" customHeight="1">
      <c r="A187" s="50"/>
      <c r="B187" s="33"/>
      <c r="C187" s="38"/>
      <c r="D187" s="128"/>
      <c r="E187" s="128"/>
      <c r="F187" s="128"/>
      <c r="G187" s="128"/>
      <c r="H187" s="128"/>
      <c r="I187" s="41"/>
      <c r="J187" s="131">
        <f>SUM(J71:J186)</f>
        <v>24973.033559999996</v>
      </c>
      <c r="K187" s="132" t="s">
        <v>702</v>
      </c>
      <c r="L187" s="13"/>
    </row>
    <row r="188" spans="1:12" ht="15" customHeight="1">
      <c r="A188" s="50"/>
      <c r="B188" s="33"/>
      <c r="C188" s="38"/>
      <c r="D188" s="128"/>
      <c r="E188" s="128"/>
      <c r="F188" s="128"/>
      <c r="G188" s="128"/>
      <c r="H188" s="128"/>
      <c r="I188" s="41"/>
      <c r="J188" s="129"/>
      <c r="K188" s="130"/>
      <c r="L188" s="13"/>
    </row>
    <row r="189" spans="1:12" ht="15" customHeight="1">
      <c r="A189" s="50"/>
      <c r="B189" s="33"/>
      <c r="C189" s="38"/>
      <c r="D189" s="128"/>
      <c r="E189" s="128" t="s">
        <v>704</v>
      </c>
      <c r="F189" s="128"/>
      <c r="G189" s="128"/>
      <c r="H189" s="128"/>
      <c r="I189" s="41"/>
      <c r="J189" s="129">
        <f>24973.03/112</f>
        <v>222.97348214285714</v>
      </c>
      <c r="K189" s="130" t="s">
        <v>703</v>
      </c>
      <c r="L189" s="13"/>
    </row>
    <row r="190" spans="1:12" ht="15" customHeight="1">
      <c r="A190" s="50"/>
      <c r="B190" s="33"/>
      <c r="C190" s="38"/>
      <c r="D190" s="128"/>
      <c r="E190" s="128"/>
      <c r="F190" s="128"/>
      <c r="G190" s="128"/>
      <c r="H190" s="128"/>
      <c r="I190" s="41"/>
      <c r="J190" s="129"/>
      <c r="K190" s="130"/>
      <c r="L190" s="13"/>
    </row>
    <row r="191" spans="1:12" ht="15" customHeight="1">
      <c r="A191" s="50"/>
      <c r="B191" s="33"/>
      <c r="C191" s="38"/>
      <c r="D191" s="128"/>
      <c r="E191" s="128"/>
      <c r="F191" s="128"/>
      <c r="G191" s="128"/>
      <c r="H191" s="128"/>
      <c r="I191" s="41"/>
      <c r="J191" s="129"/>
      <c r="K191" s="130"/>
      <c r="L191" s="13"/>
    </row>
    <row r="192" spans="1:12" ht="15" customHeight="1">
      <c r="A192" s="50"/>
      <c r="B192" s="33"/>
      <c r="C192" s="38"/>
      <c r="D192" s="128"/>
      <c r="E192" s="128"/>
      <c r="F192" s="128"/>
      <c r="G192" s="128"/>
      <c r="H192" s="128"/>
      <c r="I192" s="41"/>
      <c r="J192" s="129"/>
      <c r="K192" s="130"/>
      <c r="L192" s="13"/>
    </row>
    <row r="193" spans="1:12" ht="15" customHeight="1">
      <c r="A193" s="50"/>
      <c r="B193" s="33"/>
      <c r="C193" s="38"/>
      <c r="D193" s="128"/>
      <c r="E193" s="128"/>
      <c r="F193" s="128"/>
      <c r="G193" s="128"/>
      <c r="H193" s="128"/>
      <c r="I193" s="41"/>
      <c r="J193" s="129"/>
      <c r="K193" s="130"/>
      <c r="L193" s="13"/>
    </row>
    <row r="194" spans="1:12" ht="15" customHeight="1">
      <c r="A194" s="50"/>
      <c r="B194" s="33"/>
      <c r="C194" s="38"/>
      <c r="D194" s="128"/>
      <c r="E194" s="128"/>
      <c r="F194" s="128"/>
      <c r="G194" s="128"/>
      <c r="H194" s="128"/>
      <c r="I194" s="41"/>
      <c r="J194" s="129"/>
      <c r="K194" s="130"/>
      <c r="L194" s="13"/>
    </row>
    <row r="195" spans="1:12" ht="15" customHeight="1">
      <c r="A195" s="50"/>
      <c r="B195" s="33"/>
      <c r="C195" s="38"/>
      <c r="D195" s="128"/>
      <c r="E195" s="128"/>
      <c r="F195" s="128"/>
      <c r="G195" s="128"/>
      <c r="H195" s="128"/>
      <c r="I195" s="41"/>
      <c r="J195" s="129"/>
      <c r="K195" s="130"/>
      <c r="L195" s="13"/>
    </row>
    <row r="196" spans="1:12" ht="15" customHeight="1">
      <c r="A196" s="50"/>
      <c r="B196" s="33"/>
      <c r="C196" s="38"/>
      <c r="D196" s="128"/>
      <c r="E196" s="128"/>
      <c r="F196" s="128"/>
      <c r="G196" s="128"/>
      <c r="H196" s="128"/>
      <c r="I196" s="41"/>
      <c r="J196" s="129"/>
      <c r="K196" s="130"/>
      <c r="L196" s="13"/>
    </row>
    <row r="197" spans="1:12" ht="15" customHeight="1">
      <c r="A197" s="50"/>
      <c r="B197" s="33"/>
      <c r="C197" s="38"/>
      <c r="D197" s="128"/>
      <c r="E197" s="128"/>
      <c r="F197" s="128"/>
      <c r="G197" s="128"/>
      <c r="H197" s="128"/>
      <c r="I197" s="41"/>
      <c r="J197" s="129"/>
      <c r="K197" s="130"/>
      <c r="L197" s="13"/>
    </row>
    <row r="198" spans="1:12" ht="15" customHeight="1">
      <c r="A198" s="50"/>
      <c r="B198" s="33"/>
      <c r="C198" s="38"/>
      <c r="D198" s="128"/>
      <c r="E198" s="128"/>
      <c r="F198" s="128"/>
      <c r="G198" s="128"/>
      <c r="H198" s="128"/>
      <c r="I198" s="41"/>
      <c r="J198" s="129"/>
      <c r="K198" s="130"/>
      <c r="L198" s="13"/>
    </row>
    <row r="199" spans="1:12" ht="15" customHeight="1">
      <c r="A199" s="50"/>
      <c r="B199" s="33"/>
      <c r="C199" s="38"/>
      <c r="D199" s="128"/>
      <c r="E199" s="128"/>
      <c r="F199" s="128"/>
      <c r="G199" s="128"/>
      <c r="H199" s="128"/>
      <c r="I199" s="41"/>
      <c r="J199" s="129"/>
      <c r="K199" s="130"/>
      <c r="L199" s="13"/>
    </row>
    <row r="200" spans="1:12" ht="15" customHeight="1">
      <c r="A200" s="50"/>
      <c r="B200" s="33"/>
      <c r="C200" s="38"/>
      <c r="D200" s="128"/>
      <c r="E200" s="128"/>
      <c r="F200" s="128"/>
      <c r="G200" s="128"/>
      <c r="H200" s="128"/>
      <c r="I200" s="41"/>
      <c r="J200" s="129"/>
      <c r="K200" s="130"/>
      <c r="L200" s="13"/>
    </row>
    <row r="201" spans="1:12" ht="15" customHeight="1">
      <c r="A201" s="50"/>
      <c r="B201" s="33"/>
      <c r="C201" s="38"/>
      <c r="D201" s="128"/>
      <c r="E201" s="128"/>
      <c r="F201" s="128"/>
      <c r="G201" s="128"/>
      <c r="H201" s="128"/>
      <c r="I201" s="41"/>
      <c r="J201" s="129"/>
      <c r="K201" s="130"/>
      <c r="L201" s="13"/>
    </row>
    <row r="202" spans="1:12" ht="15" customHeight="1">
      <c r="B202" s="6" t="s">
        <v>2</v>
      </c>
      <c r="E202" s="30"/>
      <c r="F202" s="31"/>
      <c r="G202" s="7"/>
      <c r="H202" s="6"/>
      <c r="I202" s="7" t="s">
        <v>0</v>
      </c>
      <c r="J202" s="7"/>
      <c r="K202" s="31"/>
      <c r="L202" s="13"/>
    </row>
    <row r="203" spans="1:12" ht="15" customHeight="1">
      <c r="A203" s="8"/>
      <c r="D203" s="7"/>
      <c r="G203" s="7"/>
      <c r="H203" s="6"/>
      <c r="I203" s="2" t="s">
        <v>67</v>
      </c>
      <c r="J203" s="7"/>
      <c r="K203" s="8"/>
      <c r="L203" s="13"/>
    </row>
    <row r="204" spans="1:12" ht="15" customHeight="1">
      <c r="D204" s="7"/>
      <c r="E204" s="7"/>
      <c r="F204" s="7"/>
      <c r="G204" s="7"/>
      <c r="H204" s="6"/>
      <c r="I204" s="5" t="s">
        <v>1</v>
      </c>
      <c r="J204" s="7"/>
      <c r="K204" s="7"/>
      <c r="L204" s="13"/>
    </row>
    <row r="205" spans="1:12" ht="15" customHeight="1">
      <c r="C205" s="7"/>
      <c r="D205" s="7"/>
      <c r="E205" s="7"/>
      <c r="F205" s="7"/>
      <c r="I205" s="8"/>
      <c r="J205" s="8"/>
      <c r="K205" s="7"/>
      <c r="L205" s="13"/>
    </row>
    <row r="206" spans="1:12">
      <c r="E206" s="7"/>
      <c r="F206" s="7"/>
      <c r="I206" s="8"/>
      <c r="J206" s="8"/>
      <c r="K206" s="7"/>
    </row>
  </sheetData>
  <mergeCells count="5">
    <mergeCell ref="A1:B1"/>
    <mergeCell ref="C1:K3"/>
    <mergeCell ref="B6:D6"/>
    <mergeCell ref="E6:H6"/>
    <mergeCell ref="J6:K6"/>
  </mergeCells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Face sheet</vt:lpstr>
      <vt:lpstr>G.Abs</vt:lpstr>
      <vt:lpstr>(Abs)</vt:lpstr>
      <vt:lpstr>Mes</vt:lpstr>
      <vt:lpstr>Bar Bending Schedule</vt:lpstr>
      <vt:lpstr>Sheet1</vt:lpstr>
      <vt:lpstr>'(Abs)'!Print_Area</vt:lpstr>
      <vt:lpstr>'Bar Bending Schedule'!Print_Area</vt:lpstr>
      <vt:lpstr>Mes!Print_Area</vt:lpstr>
      <vt:lpstr>'(Abs)'!Print_Titles</vt:lpstr>
      <vt:lpstr>'Bar Bending Schedule'!Print_Titles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2017-02-02T11:35:53Z</cp:lastPrinted>
  <dcterms:created xsi:type="dcterms:W3CDTF">2004-01-20T03:33:34Z</dcterms:created>
  <dcterms:modified xsi:type="dcterms:W3CDTF">2017-02-24T11:15:24Z</dcterms:modified>
</cp:coreProperties>
</file>