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drawings/drawing5.xml" ContentType="application/vnd.openxmlformats-officedocument.drawing+xml"/>
  <Default Extension="emf" ContentType="image/x-emf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5" windowWidth="11355" windowHeight="6405" tabRatio="965" firstSheet="9" activeTab="9"/>
  </bookViews>
  <sheets>
    <sheet name="Cover 4" sheetId="80" state="hidden" r:id="rId1"/>
    <sheet name="Abstract (Ponds)" sheetId="78" state="hidden" r:id="rId2"/>
    <sheet name="C.T" sheetId="29" state="hidden" r:id="rId3"/>
    <sheet name="Pond Bhainse colony" sheetId="57" state="hidden" r:id="rId4"/>
    <sheet name="Pond  (2)" sheetId="65" state="hidden" r:id="rId5"/>
    <sheet name="P.E Pipe" sheetId="40" state="hidden" r:id="rId6"/>
    <sheet name="Scr chamber" sheetId="62" state="hidden" r:id="rId7"/>
    <sheet name="RCC Sewer " sheetId="67" state="hidden" r:id="rId8"/>
    <sheet name="Abstract" sheetId="89" state="hidden" r:id="rId9"/>
    <sheet name="BOQ" sheetId="81" r:id="rId10"/>
    <sheet name="CC Block (2)" sheetId="82" state="hidden" r:id="rId11"/>
    <sheet name="Cartage" sheetId="68" state="hidden" r:id="rId12"/>
    <sheet name="Mat state" sheetId="83" state="hidden" r:id="rId13"/>
    <sheet name="CC Block" sheetId="69" state="hidden" r:id="rId14"/>
    <sheet name="(2.50')" sheetId="70" state="hidden" r:id="rId15"/>
    <sheet name="Cartage-2 (2)" sheetId="87" state="hidden" r:id="rId16"/>
    <sheet name="Mater-2" sheetId="84" state="hidden" r:id="rId17"/>
    <sheet name="RCC Nalla(2.50')" sheetId="71" state="hidden" r:id="rId18"/>
    <sheet name="Compound Wall " sheetId="72" state="hidden" r:id="rId19"/>
    <sheet name="P.House" sheetId="73" state="hidden" r:id="rId20"/>
    <sheet name="Scr chamber " sheetId="74" state="hidden" r:id="rId21"/>
    <sheet name="RCC Sump " sheetId="75" state="hidden" r:id="rId22"/>
    <sheet name="CC Nalla(2.50') (2)" sheetId="76" state="hidden" r:id="rId23"/>
    <sheet name="P.Machinery" sheetId="77" state="hidden" r:id="rId24"/>
    <sheet name="Inter connection" sheetId="79" state="hidden" r:id="rId25"/>
    <sheet name="Cartage-3" sheetId="85" state="hidden" r:id="rId26"/>
    <sheet name="Material" sheetId="86" state="hidden" r:id="rId27"/>
    <sheet name="Face sheet" sheetId="20" state="hidden" r:id="rId28"/>
    <sheet name="Cover" sheetId="88" state="hidden" r:id="rId29"/>
  </sheets>
  <externalReferences>
    <externalReference r:id="rId30"/>
    <externalReference r:id="rId31"/>
    <externalReference r:id="rId32"/>
    <externalReference r:id="rId33"/>
    <externalReference r:id="rId34"/>
  </externalReferences>
  <calcPr calcId="124519"/>
</workbook>
</file>

<file path=xl/calcChain.xml><?xml version="1.0" encoding="utf-8"?>
<calcChain xmlns="http://schemas.openxmlformats.org/spreadsheetml/2006/main">
  <c r="O168" i="81"/>
  <c r="G168"/>
  <c r="O167"/>
  <c r="G167"/>
  <c r="G166"/>
  <c r="G165"/>
  <c r="O165"/>
  <c r="K81"/>
  <c r="O76"/>
  <c r="O58"/>
  <c r="M50"/>
  <c r="M53" s="1"/>
  <c r="M37"/>
  <c r="M41" s="1"/>
  <c r="O19"/>
  <c r="N15"/>
  <c r="N19" s="1"/>
  <c r="O15"/>
  <c r="M12"/>
  <c r="M15" s="1"/>
  <c r="M19" s="1"/>
  <c r="K12"/>
  <c r="K15" s="1"/>
  <c r="K19" s="1"/>
  <c r="K28" s="1"/>
  <c r="K37" s="1"/>
  <c r="K41" s="1"/>
  <c r="K44" s="1"/>
  <c r="K50" s="1"/>
  <c r="K53" s="1"/>
  <c r="K67" s="1"/>
  <c r="K72" s="1"/>
  <c r="O12"/>
  <c r="O8"/>
  <c r="O95"/>
  <c r="K101"/>
  <c r="O101"/>
  <c r="O104"/>
  <c r="O105"/>
  <c r="O106"/>
  <c r="O109"/>
  <c r="O112"/>
  <c r="K123"/>
  <c r="O123"/>
  <c r="O129"/>
  <c r="B144"/>
  <c r="B147" s="1"/>
  <c r="A2" i="89"/>
  <c r="A1"/>
  <c r="A21" i="88"/>
  <c r="A20"/>
  <c r="A1" i="71"/>
  <c r="A1" i="69"/>
  <c r="F7" i="86"/>
  <c r="L7" s="1"/>
  <c r="L8" s="1"/>
  <c r="B24" i="85" s="1"/>
  <c r="F6" i="86"/>
  <c r="J6" s="1"/>
  <c r="F5"/>
  <c r="J5" s="1"/>
  <c r="F4"/>
  <c r="I4" s="1"/>
  <c r="K1" i="85"/>
  <c r="O30" i="71"/>
  <c r="O110"/>
  <c r="O102"/>
  <c r="O96"/>
  <c r="L88"/>
  <c r="G87"/>
  <c r="E87"/>
  <c r="E85"/>
  <c r="K1" i="87"/>
  <c r="C9" i="83"/>
  <c r="F9" s="1"/>
  <c r="C8"/>
  <c r="C7"/>
  <c r="G8" i="86"/>
  <c r="K8"/>
  <c r="H5"/>
  <c r="H14" i="84"/>
  <c r="H12"/>
  <c r="L8"/>
  <c r="K7"/>
  <c r="K8" s="1"/>
  <c r="G20" i="83"/>
  <c r="G18"/>
  <c r="H13"/>
  <c r="H14" s="1"/>
  <c r="F8"/>
  <c r="F7"/>
  <c r="I7" s="1"/>
  <c r="H24" i="85"/>
  <c r="D23"/>
  <c r="H21"/>
  <c r="K21" s="1"/>
  <c r="E19"/>
  <c r="H17"/>
  <c r="G15"/>
  <c r="H13"/>
  <c r="E11"/>
  <c r="I9"/>
  <c r="H9"/>
  <c r="G9"/>
  <c r="G13" s="1"/>
  <c r="G17" s="1"/>
  <c r="G21" s="1"/>
  <c r="B9"/>
  <c r="E7"/>
  <c r="H5"/>
  <c r="E3"/>
  <c r="H17" i="87"/>
  <c r="G15"/>
  <c r="H13"/>
  <c r="E11"/>
  <c r="I9"/>
  <c r="H9"/>
  <c r="G9"/>
  <c r="G13" s="1"/>
  <c r="G17" s="1"/>
  <c r="B9"/>
  <c r="E7"/>
  <c r="H5"/>
  <c r="E3"/>
  <c r="H24" i="68"/>
  <c r="D23"/>
  <c r="H21"/>
  <c r="E19"/>
  <c r="H17"/>
  <c r="G15"/>
  <c r="H13"/>
  <c r="E11"/>
  <c r="I9"/>
  <c r="H9"/>
  <c r="G9"/>
  <c r="G13" s="1"/>
  <c r="G17" s="1"/>
  <c r="G21" s="1"/>
  <c r="B9"/>
  <c r="E7"/>
  <c r="H5"/>
  <c r="E3"/>
  <c r="I40" i="82"/>
  <c r="G26"/>
  <c r="G33" s="1"/>
  <c r="K33" s="1"/>
  <c r="E26"/>
  <c r="E33" s="1"/>
  <c r="G40" s="1"/>
  <c r="R40" s="1"/>
  <c r="G25"/>
  <c r="G32" s="1"/>
  <c r="K32" s="1"/>
  <c r="K34" s="1"/>
  <c r="B35" s="1"/>
  <c r="O35" s="1"/>
  <c r="E25"/>
  <c r="E32" s="1"/>
  <c r="E40" s="1"/>
  <c r="R39" s="1"/>
  <c r="R41" s="1"/>
  <c r="K40" s="1"/>
  <c r="B41" s="1"/>
  <c r="O41" s="1"/>
  <c r="L21"/>
  <c r="K9"/>
  <c r="K7"/>
  <c r="K6"/>
  <c r="K20" s="1"/>
  <c r="O135" i="81"/>
  <c r="A19" i="80"/>
  <c r="O37" i="81" l="1"/>
  <c r="O87"/>
  <c r="O81"/>
  <c r="O28"/>
  <c r="O160"/>
  <c r="L168" s="1"/>
  <c r="O155"/>
  <c r="O151"/>
  <c r="H6" i="86"/>
  <c r="F10" i="83"/>
  <c r="L10" s="1"/>
  <c r="L13" s="1"/>
  <c r="L14" s="1"/>
  <c r="B24" i="68" s="1"/>
  <c r="K24" s="1"/>
  <c r="I6" i="86"/>
  <c r="J8"/>
  <c r="B17" i="85" s="1"/>
  <c r="K17" s="1"/>
  <c r="I5" i="86"/>
  <c r="F12" i="83"/>
  <c r="I12" s="1"/>
  <c r="I8" i="86"/>
  <c r="B13" i="85" s="1"/>
  <c r="H4" i="86"/>
  <c r="H8" s="1"/>
  <c r="B5" i="85" s="1"/>
  <c r="K5" s="1"/>
  <c r="K9" i="68"/>
  <c r="K9" i="87"/>
  <c r="K9" i="85"/>
  <c r="K13"/>
  <c r="K24"/>
  <c r="I9" i="83"/>
  <c r="J9"/>
  <c r="G9"/>
  <c r="J8"/>
  <c r="G8"/>
  <c r="I8"/>
  <c r="G7"/>
  <c r="J7"/>
  <c r="K26" i="82"/>
  <c r="K8"/>
  <c r="K10"/>
  <c r="K25"/>
  <c r="K27" s="1"/>
  <c r="B28" s="1"/>
  <c r="O28" s="1"/>
  <c r="C85" i="79"/>
  <c r="I85" s="1"/>
  <c r="I82"/>
  <c r="I79"/>
  <c r="I78"/>
  <c r="I72"/>
  <c r="I71"/>
  <c r="I68"/>
  <c r="I67"/>
  <c r="I64"/>
  <c r="I60"/>
  <c r="I56"/>
  <c r="I52"/>
  <c r="C52"/>
  <c r="I39"/>
  <c r="I37"/>
  <c r="I30"/>
  <c r="I25"/>
  <c r="I19"/>
  <c r="I9"/>
  <c r="I7"/>
  <c r="I80" s="1"/>
  <c r="I83" s="1"/>
  <c r="O166" i="81" l="1"/>
  <c r="O41"/>
  <c r="O50"/>
  <c r="O53"/>
  <c r="O44"/>
  <c r="I10" i="83"/>
  <c r="J10"/>
  <c r="J12"/>
  <c r="G12"/>
  <c r="O140" i="81"/>
  <c r="G10" i="83"/>
  <c r="K27" i="85"/>
  <c r="I9" i="89" s="1"/>
  <c r="F5" i="83"/>
  <c r="F11"/>
  <c r="B21" i="82"/>
  <c r="O21" s="1"/>
  <c r="B11"/>
  <c r="O11" s="1"/>
  <c r="B15"/>
  <c r="O15" s="1"/>
  <c r="K14"/>
  <c r="G24" i="69"/>
  <c r="K24" s="1"/>
  <c r="E24"/>
  <c r="E31" s="1"/>
  <c r="K7"/>
  <c r="G11" i="78"/>
  <c r="C102" i="65"/>
  <c r="M101"/>
  <c r="C32"/>
  <c r="K29"/>
  <c r="M102" i="57"/>
  <c r="C103" s="1"/>
  <c r="E96" i="65"/>
  <c r="E95"/>
  <c r="F26" i="77"/>
  <c r="O191" i="67"/>
  <c r="O188"/>
  <c r="C172"/>
  <c r="M165"/>
  <c r="E164"/>
  <c r="M164"/>
  <c r="C164"/>
  <c r="I138"/>
  <c r="K138" s="1"/>
  <c r="G138"/>
  <c r="B138"/>
  <c r="G45"/>
  <c r="G64" s="1"/>
  <c r="K79"/>
  <c r="M45"/>
  <c r="M32"/>
  <c r="K108" i="71"/>
  <c r="B149" i="76"/>
  <c r="O149" s="1"/>
  <c r="K137"/>
  <c r="K142" s="1"/>
  <c r="J128"/>
  <c r="J135" s="1"/>
  <c r="G122"/>
  <c r="I117"/>
  <c r="G117"/>
  <c r="J110"/>
  <c r="J111" s="1"/>
  <c r="J117" s="1"/>
  <c r="J121" s="1"/>
  <c r="G97"/>
  <c r="G95"/>
  <c r="I78"/>
  <c r="M72"/>
  <c r="J66"/>
  <c r="M60"/>
  <c r="J49"/>
  <c r="L53" s="1"/>
  <c r="K48"/>
  <c r="G48"/>
  <c r="J43"/>
  <c r="J59" s="1"/>
  <c r="M39"/>
  <c r="M44" s="1"/>
  <c r="C38"/>
  <c r="J28"/>
  <c r="G28"/>
  <c r="G38" s="1"/>
  <c r="G59" s="1"/>
  <c r="E28"/>
  <c r="E38" s="1"/>
  <c r="E43" s="1"/>
  <c r="B19"/>
  <c r="O19" s="1"/>
  <c r="L18"/>
  <c r="N14"/>
  <c r="N19" s="1"/>
  <c r="B14"/>
  <c r="O14" s="1"/>
  <c r="L13"/>
  <c r="J13"/>
  <c r="M10"/>
  <c r="M14" s="1"/>
  <c r="M19" s="1"/>
  <c r="K10"/>
  <c r="K14" s="1"/>
  <c r="K19" s="1"/>
  <c r="K29" s="1"/>
  <c r="K39" s="1"/>
  <c r="K44" s="1"/>
  <c r="K53" s="1"/>
  <c r="K60" s="1"/>
  <c r="K72" s="1"/>
  <c r="K100" s="1"/>
  <c r="K106" s="1"/>
  <c r="K113" s="1"/>
  <c r="K118" s="1"/>
  <c r="K124" s="1"/>
  <c r="B10"/>
  <c r="O10" s="1"/>
  <c r="L9"/>
  <c r="L4"/>
  <c r="B5" s="1"/>
  <c r="O120" i="72"/>
  <c r="E90"/>
  <c r="G81"/>
  <c r="J187" i="73"/>
  <c r="M81" i="72"/>
  <c r="C68"/>
  <c r="C69"/>
  <c r="Q80" i="74"/>
  <c r="Q83" s="1"/>
  <c r="G85" s="1"/>
  <c r="Q85" s="1"/>
  <c r="N155" i="75"/>
  <c r="E154"/>
  <c r="C154"/>
  <c r="N149"/>
  <c r="N148"/>
  <c r="C134"/>
  <c r="N134" s="1"/>
  <c r="B135" s="1"/>
  <c r="C133"/>
  <c r="C132"/>
  <c r="N132" s="1"/>
  <c r="B133" s="1"/>
  <c r="Q133" s="1"/>
  <c r="N127"/>
  <c r="C127"/>
  <c r="E125"/>
  <c r="N125" s="1"/>
  <c r="N124"/>
  <c r="E112"/>
  <c r="N112" s="1"/>
  <c r="N111"/>
  <c r="M100"/>
  <c r="M114" s="1"/>
  <c r="M127" s="1"/>
  <c r="C100"/>
  <c r="N95"/>
  <c r="N96" s="1"/>
  <c r="B97" s="1"/>
  <c r="M91"/>
  <c r="C85"/>
  <c r="I83"/>
  <c r="I81"/>
  <c r="C81"/>
  <c r="C83" s="1"/>
  <c r="I74"/>
  <c r="C74"/>
  <c r="O71"/>
  <c r="O76" s="1"/>
  <c r="I69"/>
  <c r="M66"/>
  <c r="M71" s="1"/>
  <c r="M76" s="1"/>
  <c r="I64"/>
  <c r="C64"/>
  <c r="C69" s="1"/>
  <c r="I54"/>
  <c r="C48"/>
  <c r="I46"/>
  <c r="I42"/>
  <c r="M36"/>
  <c r="M44" s="1"/>
  <c r="C36"/>
  <c r="G23"/>
  <c r="C20"/>
  <c r="C23" s="1"/>
  <c r="I6"/>
  <c r="N6" s="1"/>
  <c r="U3"/>
  <c r="W3" s="1"/>
  <c r="C116" i="72"/>
  <c r="C110"/>
  <c r="M108"/>
  <c r="C102"/>
  <c r="C96"/>
  <c r="C91"/>
  <c r="M90"/>
  <c r="B91" s="1"/>
  <c r="K83"/>
  <c r="K86" s="1"/>
  <c r="K91" s="1"/>
  <c r="K96" s="1"/>
  <c r="K102" s="1"/>
  <c r="K110" s="1"/>
  <c r="K116" s="1"/>
  <c r="C83"/>
  <c r="C86" s="1"/>
  <c r="C76"/>
  <c r="C74"/>
  <c r="C80" s="1"/>
  <c r="M80" s="1"/>
  <c r="E73"/>
  <c r="M73" s="1"/>
  <c r="K62"/>
  <c r="I54"/>
  <c r="I53"/>
  <c r="I52"/>
  <c r="C52"/>
  <c r="C35"/>
  <c r="C30"/>
  <c r="K24"/>
  <c r="C24"/>
  <c r="E22"/>
  <c r="E21"/>
  <c r="C17"/>
  <c r="I15"/>
  <c r="I22" s="1"/>
  <c r="G15"/>
  <c r="G22" s="1"/>
  <c r="C15"/>
  <c r="R11"/>
  <c r="M11"/>
  <c r="R10"/>
  <c r="M10"/>
  <c r="M12" s="1"/>
  <c r="G13" s="1"/>
  <c r="M8"/>
  <c r="M66" s="1"/>
  <c r="K74" i="74"/>
  <c r="K73"/>
  <c r="Q71"/>
  <c r="K69"/>
  <c r="K68"/>
  <c r="M64"/>
  <c r="E64"/>
  <c r="B64"/>
  <c r="Q64" s="1"/>
  <c r="I63"/>
  <c r="O57"/>
  <c r="B59" s="1"/>
  <c r="K56"/>
  <c r="B51"/>
  <c r="Q51" s="1"/>
  <c r="M42"/>
  <c r="M51" s="1"/>
  <c r="B41"/>
  <c r="M41" s="1"/>
  <c r="B42" s="1"/>
  <c r="B36"/>
  <c r="Q36" s="1"/>
  <c r="M34"/>
  <c r="M31"/>
  <c r="M29"/>
  <c r="M19"/>
  <c r="E19"/>
  <c r="M17"/>
  <c r="M18" s="1"/>
  <c r="B19" s="1"/>
  <c r="Q19" s="1"/>
  <c r="M13"/>
  <c r="M12"/>
  <c r="B13" s="1"/>
  <c r="Q13" s="1"/>
  <c r="M7"/>
  <c r="M8" s="1"/>
  <c r="B9" s="1"/>
  <c r="Q9" s="1"/>
  <c r="M178" i="73"/>
  <c r="M171"/>
  <c r="M172" s="1"/>
  <c r="M174" s="1"/>
  <c r="M168"/>
  <c r="C166"/>
  <c r="M166" s="1"/>
  <c r="M161"/>
  <c r="M162" s="1"/>
  <c r="B163" s="1"/>
  <c r="Q163" s="1"/>
  <c r="M155"/>
  <c r="B156" s="1"/>
  <c r="Q156" s="1"/>
  <c r="C153"/>
  <c r="E146"/>
  <c r="C146"/>
  <c r="C154" s="1"/>
  <c r="M141"/>
  <c r="E141"/>
  <c r="I140"/>
  <c r="O135"/>
  <c r="B136" s="1"/>
  <c r="M127"/>
  <c r="B129" s="1"/>
  <c r="Q129" s="1"/>
  <c r="M121"/>
  <c r="B122" s="1"/>
  <c r="Q122" s="1"/>
  <c r="M116"/>
  <c r="C108"/>
  <c r="M108" s="1"/>
  <c r="M97"/>
  <c r="C97"/>
  <c r="Q86"/>
  <c r="D84"/>
  <c r="D90" s="1"/>
  <c r="Q79"/>
  <c r="C76"/>
  <c r="C109" s="1"/>
  <c r="C75"/>
  <c r="M75" s="1"/>
  <c r="M74"/>
  <c r="M73"/>
  <c r="K70"/>
  <c r="Q63"/>
  <c r="M55"/>
  <c r="M54"/>
  <c r="Q50"/>
  <c r="M50"/>
  <c r="M63" s="1"/>
  <c r="C48"/>
  <c r="M48" s="1"/>
  <c r="M45"/>
  <c r="M44"/>
  <c r="Q33"/>
  <c r="E33"/>
  <c r="M26"/>
  <c r="M25"/>
  <c r="M21"/>
  <c r="E21"/>
  <c r="L19"/>
  <c r="L18"/>
  <c r="I18"/>
  <c r="G18"/>
  <c r="E18"/>
  <c r="L17"/>
  <c r="I17"/>
  <c r="E17"/>
  <c r="L16"/>
  <c r="I16"/>
  <c r="E16"/>
  <c r="C16"/>
  <c r="G17"/>
  <c r="C8"/>
  <c r="C9" s="1"/>
  <c r="M9" s="1"/>
  <c r="G16"/>
  <c r="O67" i="81" l="1"/>
  <c r="O72"/>
  <c r="O89" s="1"/>
  <c r="O147"/>
  <c r="O144"/>
  <c r="F6" i="83"/>
  <c r="K6" s="1"/>
  <c r="K13" s="1"/>
  <c r="K14" s="1"/>
  <c r="B21" i="68" s="1"/>
  <c r="K21" s="1"/>
  <c r="O42" i="82"/>
  <c r="I11" i="83"/>
  <c r="J11"/>
  <c r="J5"/>
  <c r="I5"/>
  <c r="G5"/>
  <c r="G13" s="1"/>
  <c r="G14" s="1"/>
  <c r="B5" i="68" s="1"/>
  <c r="K5" s="1"/>
  <c r="O44" i="82"/>
  <c r="O47" s="1"/>
  <c r="G38" i="69"/>
  <c r="R38" s="1"/>
  <c r="G31"/>
  <c r="K31" s="1"/>
  <c r="I26" i="77"/>
  <c r="I28" s="1"/>
  <c r="G71" i="67"/>
  <c r="M71" s="1"/>
  <c r="M64"/>
  <c r="G51"/>
  <c r="M51" s="1"/>
  <c r="O5" i="76"/>
  <c r="G69"/>
  <c r="G89" s="1"/>
  <c r="C63"/>
  <c r="L38"/>
  <c r="B39" s="1"/>
  <c r="O39" s="1"/>
  <c r="L43"/>
  <c r="B44" s="1"/>
  <c r="E59"/>
  <c r="L28"/>
  <c r="B29" s="1"/>
  <c r="O29" s="1"/>
  <c r="N150" i="75"/>
  <c r="B151" s="1"/>
  <c r="N154"/>
  <c r="N156" s="1"/>
  <c r="B157" s="1"/>
  <c r="N69"/>
  <c r="N74"/>
  <c r="M32" i="74"/>
  <c r="K75"/>
  <c r="B76" s="1"/>
  <c r="Q76" s="1"/>
  <c r="M76" i="73"/>
  <c r="M77" s="1"/>
  <c r="I78" s="1"/>
  <c r="M7"/>
  <c r="M56"/>
  <c r="B57" s="1"/>
  <c r="Q57" s="1"/>
  <c r="M84"/>
  <c r="M85" s="1"/>
  <c r="M49"/>
  <c r="B62" s="1"/>
  <c r="M62" s="1"/>
  <c r="M52" i="72"/>
  <c r="K70" i="74"/>
  <c r="N113" i="75"/>
  <c r="B114" s="1"/>
  <c r="Q114" s="1"/>
  <c r="N126"/>
  <c r="B127" s="1"/>
  <c r="N75"/>
  <c r="B76" s="1"/>
  <c r="Q76" s="1"/>
  <c r="N23"/>
  <c r="C42"/>
  <c r="C89"/>
  <c r="N89" s="1"/>
  <c r="N90" s="1"/>
  <c r="B91" s="1"/>
  <c r="Q91" s="1"/>
  <c r="N83"/>
  <c r="Q97"/>
  <c r="B100"/>
  <c r="Q100" s="1"/>
  <c r="Q135"/>
  <c r="Q127"/>
  <c r="R151"/>
  <c r="Q151"/>
  <c r="R157"/>
  <c r="Q157"/>
  <c r="N20"/>
  <c r="N64"/>
  <c r="N81"/>
  <c r="K107" i="72"/>
  <c r="O91"/>
  <c r="M22"/>
  <c r="C53"/>
  <c r="B71"/>
  <c r="M74"/>
  <c r="M75" s="1"/>
  <c r="B76" s="1"/>
  <c r="O76" s="1"/>
  <c r="B13"/>
  <c r="M13" s="1"/>
  <c r="B14" s="1"/>
  <c r="M15"/>
  <c r="E79"/>
  <c r="M177" i="73"/>
  <c r="B178" s="1"/>
  <c r="Q178" s="1"/>
  <c r="B175"/>
  <c r="E154"/>
  <c r="M109"/>
  <c r="C95"/>
  <c r="M95" s="1"/>
  <c r="M105" s="1"/>
  <c r="B111" s="1"/>
  <c r="M90"/>
  <c r="M91" s="1"/>
  <c r="B92" s="1"/>
  <c r="Q92" s="1"/>
  <c r="M140"/>
  <c r="B141" s="1"/>
  <c r="Q141" s="1"/>
  <c r="Q136"/>
  <c r="M16"/>
  <c r="M110"/>
  <c r="E111" s="1"/>
  <c r="M8"/>
  <c r="M10" s="1"/>
  <c r="B11" s="1"/>
  <c r="Q11" s="1"/>
  <c r="C17"/>
  <c r="C27"/>
  <c r="M128"/>
  <c r="O146"/>
  <c r="O147" s="1"/>
  <c r="B148" s="1"/>
  <c r="Q148" s="1"/>
  <c r="O136" i="81" l="1"/>
  <c r="O161"/>
  <c r="J6" i="83"/>
  <c r="I6"/>
  <c r="I13" s="1"/>
  <c r="I14" s="1"/>
  <c r="B13" i="68" s="1"/>
  <c r="K13" s="1"/>
  <c r="J13" i="83"/>
  <c r="J14" s="1"/>
  <c r="B17" i="68" s="1"/>
  <c r="K17" s="1"/>
  <c r="G79" i="67"/>
  <c r="M79" s="1"/>
  <c r="E68" i="76"/>
  <c r="L59"/>
  <c r="B60" s="1"/>
  <c r="O60" s="1"/>
  <c r="L50"/>
  <c r="O44"/>
  <c r="L51"/>
  <c r="K63"/>
  <c r="G64"/>
  <c r="N70" i="75"/>
  <c r="B71" s="1"/>
  <c r="Q71" s="1"/>
  <c r="I140"/>
  <c r="B142" s="1"/>
  <c r="N142" s="1"/>
  <c r="B144" s="1"/>
  <c r="Q144" s="1"/>
  <c r="I111" i="73"/>
  <c r="B112" s="1"/>
  <c r="I115" s="1"/>
  <c r="B116" s="1"/>
  <c r="Q116" s="1"/>
  <c r="N84" i="75"/>
  <c r="B85" s="1"/>
  <c r="Q85" s="1"/>
  <c r="N7"/>
  <c r="B9" s="1"/>
  <c r="Q9" s="1"/>
  <c r="N65"/>
  <c r="B66" s="1"/>
  <c r="Q66" s="1"/>
  <c r="N21"/>
  <c r="C54"/>
  <c r="N54" s="1"/>
  <c r="N56" s="1"/>
  <c r="B58" s="1"/>
  <c r="Q58" s="1"/>
  <c r="C46"/>
  <c r="N46" s="1"/>
  <c r="N47" s="1"/>
  <c r="B48" s="1"/>
  <c r="Q48" s="1"/>
  <c r="N42"/>
  <c r="M79" i="72"/>
  <c r="M14"/>
  <c r="M16" s="1"/>
  <c r="B21"/>
  <c r="C54"/>
  <c r="M54" s="1"/>
  <c r="M53"/>
  <c r="M68"/>
  <c r="M70" s="1"/>
  <c r="G71" s="1"/>
  <c r="M71" s="1"/>
  <c r="B72" s="1"/>
  <c r="G72" s="1"/>
  <c r="M95"/>
  <c r="B96" s="1"/>
  <c r="Q112" i="73"/>
  <c r="M17"/>
  <c r="C18"/>
  <c r="C119"/>
  <c r="M27"/>
  <c r="C68"/>
  <c r="C28"/>
  <c r="K1" i="68" l="1"/>
  <c r="K27" s="1"/>
  <c r="K29" s="1"/>
  <c r="K31" s="1"/>
  <c r="I11" i="89" s="1"/>
  <c r="G88" i="67"/>
  <c r="M88" s="1"/>
  <c r="I64" i="76"/>
  <c r="K64"/>
  <c r="K65" s="1"/>
  <c r="B66" s="1"/>
  <c r="K66" s="1"/>
  <c r="G68" s="1"/>
  <c r="E88"/>
  <c r="G78"/>
  <c r="M78" s="1"/>
  <c r="E69"/>
  <c r="L52"/>
  <c r="B53" s="1"/>
  <c r="O53" s="1"/>
  <c r="N24" i="75"/>
  <c r="B33"/>
  <c r="N33" s="1"/>
  <c r="B17" i="72"/>
  <c r="O17" s="1"/>
  <c r="M55"/>
  <c r="B56" s="1"/>
  <c r="O56" s="1"/>
  <c r="N43" i="75"/>
  <c r="B44" s="1"/>
  <c r="Q44" s="1"/>
  <c r="O96" i="72"/>
  <c r="E101"/>
  <c r="M101" s="1"/>
  <c r="B102" s="1"/>
  <c r="O102" s="1"/>
  <c r="M82"/>
  <c r="B83" s="1"/>
  <c r="B61"/>
  <c r="K61" s="1"/>
  <c r="B62" s="1"/>
  <c r="O62" s="1"/>
  <c r="C27"/>
  <c r="M21"/>
  <c r="M23" s="1"/>
  <c r="B24" s="1"/>
  <c r="O24" s="1"/>
  <c r="M28" i="73"/>
  <c r="C29"/>
  <c r="M68"/>
  <c r="C70"/>
  <c r="M70" s="1"/>
  <c r="M18"/>
  <c r="C19"/>
  <c r="M19" s="1"/>
  <c r="C97" i="67" l="1"/>
  <c r="O97" s="1"/>
  <c r="C133"/>
  <c r="L69" i="76"/>
  <c r="E70"/>
  <c r="C94"/>
  <c r="E89"/>
  <c r="L89" s="1"/>
  <c r="E141" s="1"/>
  <c r="L141" s="1"/>
  <c r="B142" s="1"/>
  <c r="O142" s="1"/>
  <c r="E110"/>
  <c r="L88"/>
  <c r="L90" s="1"/>
  <c r="D99" s="1"/>
  <c r="B25" i="75"/>
  <c r="Q25" s="1"/>
  <c r="B31"/>
  <c r="N31" s="1"/>
  <c r="N34"/>
  <c r="B36" s="1"/>
  <c r="Q36" s="1"/>
  <c r="Q159" s="1"/>
  <c r="B86" i="72"/>
  <c r="O83"/>
  <c r="E34"/>
  <c r="M34" s="1"/>
  <c r="B35" s="1"/>
  <c r="O35" s="1"/>
  <c r="C28"/>
  <c r="M28" s="1"/>
  <c r="M27"/>
  <c r="M29" i="73"/>
  <c r="C30"/>
  <c r="M20"/>
  <c r="B21" s="1"/>
  <c r="Q21" s="1"/>
  <c r="Q180" s="1"/>
  <c r="M71"/>
  <c r="E78" s="1"/>
  <c r="M78" s="1"/>
  <c r="M133" i="67" l="1"/>
  <c r="E138"/>
  <c r="M138" s="1"/>
  <c r="E111" i="76"/>
  <c r="L110"/>
  <c r="C96"/>
  <c r="G96" s="1"/>
  <c r="C97" s="1"/>
  <c r="L97" s="1"/>
  <c r="G94"/>
  <c r="C95" s="1"/>
  <c r="L95" s="1"/>
  <c r="L98" s="1"/>
  <c r="I99" s="1"/>
  <c r="I77"/>
  <c r="M77" s="1"/>
  <c r="M79" s="1"/>
  <c r="B80" s="1"/>
  <c r="O80" s="1"/>
  <c r="L70"/>
  <c r="L71" s="1"/>
  <c r="B72" s="1"/>
  <c r="O72" s="1"/>
  <c r="L99"/>
  <c r="B100" s="1"/>
  <c r="M29" i="72"/>
  <c r="B30" s="1"/>
  <c r="O30" s="1"/>
  <c r="Q161" i="75"/>
  <c r="Q164" s="1"/>
  <c r="Q182" i="73"/>
  <c r="H107" i="72"/>
  <c r="M107" s="1"/>
  <c r="M109" s="1"/>
  <c r="B110" s="1"/>
  <c r="O86"/>
  <c r="M30" i="73"/>
  <c r="C31"/>
  <c r="M31" s="1"/>
  <c r="L111" i="76" l="1"/>
  <c r="E117"/>
  <c r="O100"/>
  <c r="B105"/>
  <c r="L105" s="1"/>
  <c r="B106" s="1"/>
  <c r="L112"/>
  <c r="B113" s="1"/>
  <c r="O113" s="1"/>
  <c r="K166" i="75"/>
  <c r="Q166"/>
  <c r="Q185" i="73"/>
  <c r="K189" s="1"/>
  <c r="Q189" s="1"/>
  <c r="M32"/>
  <c r="M113" i="72"/>
  <c r="M114" s="1"/>
  <c r="B116" s="1"/>
  <c r="O116" s="1"/>
  <c r="O110"/>
  <c r="E121" i="76" l="1"/>
  <c r="L117"/>
  <c r="B118" s="1"/>
  <c r="O118" s="1"/>
  <c r="O117" i="72"/>
  <c r="K110" i="71"/>
  <c r="J101"/>
  <c r="J108" s="1"/>
  <c r="M63"/>
  <c r="M70" s="1"/>
  <c r="J53"/>
  <c r="L57" s="1"/>
  <c r="G52"/>
  <c r="K52" s="1"/>
  <c r="J47"/>
  <c r="J62" s="1"/>
  <c r="M40"/>
  <c r="M48" s="1"/>
  <c r="E39"/>
  <c r="C39"/>
  <c r="J29"/>
  <c r="G29"/>
  <c r="G39" s="1"/>
  <c r="L19"/>
  <c r="B20" s="1"/>
  <c r="O20" s="1"/>
  <c r="N15"/>
  <c r="N20" s="1"/>
  <c r="L14"/>
  <c r="B15" s="1"/>
  <c r="O15" s="1"/>
  <c r="J14"/>
  <c r="M11"/>
  <c r="M15" s="1"/>
  <c r="M20" s="1"/>
  <c r="K11"/>
  <c r="K15" s="1"/>
  <c r="K20" s="1"/>
  <c r="K30" s="1"/>
  <c r="K40" s="1"/>
  <c r="K48" s="1"/>
  <c r="K57" s="1"/>
  <c r="K63" s="1"/>
  <c r="K70" s="1"/>
  <c r="K90" s="1"/>
  <c r="K96" s="1"/>
  <c r="L10"/>
  <c r="B11" s="1"/>
  <c r="O11" s="1"/>
  <c r="L5"/>
  <c r="B6" s="1"/>
  <c r="P188" i="70"/>
  <c r="N186"/>
  <c r="M184"/>
  <c r="E161"/>
  <c r="M161" s="1"/>
  <c r="M170" s="1"/>
  <c r="M154"/>
  <c r="B156" s="1"/>
  <c r="P156" s="1"/>
  <c r="B140"/>
  <c r="P140" s="1"/>
  <c r="M121"/>
  <c r="B123" s="1"/>
  <c r="P123" s="1"/>
  <c r="E121"/>
  <c r="E128" s="1"/>
  <c r="M128" s="1"/>
  <c r="M110"/>
  <c r="E86"/>
  <c r="E92" s="1"/>
  <c r="M92" s="1"/>
  <c r="E85"/>
  <c r="E112" s="1"/>
  <c r="E72"/>
  <c r="M72" s="1"/>
  <c r="B74" s="1"/>
  <c r="P74" s="1"/>
  <c r="M63"/>
  <c r="M61"/>
  <c r="M65" s="1"/>
  <c r="B67" s="1"/>
  <c r="P67" s="1"/>
  <c r="E61"/>
  <c r="G55"/>
  <c r="G67" s="1"/>
  <c r="G51"/>
  <c r="E51"/>
  <c r="E49"/>
  <c r="M49" s="1"/>
  <c r="M40"/>
  <c r="M31"/>
  <c r="G29"/>
  <c r="G38" s="1"/>
  <c r="M38" s="1"/>
  <c r="M41" s="1"/>
  <c r="B43" s="1"/>
  <c r="P43" s="1"/>
  <c r="M21"/>
  <c r="B23" s="1"/>
  <c r="P23" s="1"/>
  <c r="M13"/>
  <c r="M14" s="1"/>
  <c r="B16" s="1"/>
  <c r="P16" s="1"/>
  <c r="M6"/>
  <c r="M7" s="1"/>
  <c r="I38" i="69"/>
  <c r="G23"/>
  <c r="G30" s="1"/>
  <c r="E23"/>
  <c r="E30" s="1"/>
  <c r="E38" s="1"/>
  <c r="R37" s="1"/>
  <c r="R39" s="1"/>
  <c r="K38" s="1"/>
  <c r="L19"/>
  <c r="K6"/>
  <c r="K8" s="1"/>
  <c r="B9" s="1"/>
  <c r="O173" i="67"/>
  <c r="M172"/>
  <c r="I162"/>
  <c r="E162"/>
  <c r="I160"/>
  <c r="I151"/>
  <c r="I149"/>
  <c r="E149"/>
  <c r="E151" s="1"/>
  <c r="M141"/>
  <c r="I137"/>
  <c r="K137" s="1"/>
  <c r="G137"/>
  <c r="B137"/>
  <c r="I136"/>
  <c r="K136" s="1"/>
  <c r="G136"/>
  <c r="B136"/>
  <c r="C121"/>
  <c r="O121" s="1"/>
  <c r="G120"/>
  <c r="I120" s="1"/>
  <c r="E120"/>
  <c r="M101"/>
  <c r="B102" s="1"/>
  <c r="O102" s="1"/>
  <c r="K78"/>
  <c r="K77"/>
  <c r="K66"/>
  <c r="G49"/>
  <c r="M49" s="1"/>
  <c r="I44"/>
  <c r="G44"/>
  <c r="G63" s="1"/>
  <c r="I43"/>
  <c r="G43"/>
  <c r="M31"/>
  <c r="M30"/>
  <c r="M33" s="1"/>
  <c r="K19"/>
  <c r="K18"/>
  <c r="K17"/>
  <c r="N13"/>
  <c r="N21" s="1"/>
  <c r="K12"/>
  <c r="B13" s="1"/>
  <c r="O13" s="1"/>
  <c r="J12"/>
  <c r="M9"/>
  <c r="M13" s="1"/>
  <c r="M21" s="1"/>
  <c r="K9"/>
  <c r="K13" s="1"/>
  <c r="K21" s="1"/>
  <c r="J34" s="1"/>
  <c r="K8"/>
  <c r="B9" s="1"/>
  <c r="O9" s="1"/>
  <c r="K4"/>
  <c r="B5" s="1"/>
  <c r="O5" s="1"/>
  <c r="Q102" i="65"/>
  <c r="M96"/>
  <c r="M95"/>
  <c r="M88"/>
  <c r="M87"/>
  <c r="M89" s="1"/>
  <c r="Q77"/>
  <c r="M66"/>
  <c r="I65"/>
  <c r="M65" s="1"/>
  <c r="C65"/>
  <c r="C66" s="1"/>
  <c r="M64"/>
  <c r="M46"/>
  <c r="C46"/>
  <c r="M44"/>
  <c r="M47" s="1"/>
  <c r="C48" s="1"/>
  <c r="Q48" s="1"/>
  <c r="O39"/>
  <c r="C40" s="1"/>
  <c r="Q40" s="1"/>
  <c r="V29"/>
  <c r="V30" s="1"/>
  <c r="T29"/>
  <c r="T30" s="1"/>
  <c r="V27"/>
  <c r="V28" s="1"/>
  <c r="T27"/>
  <c r="T28" s="1"/>
  <c r="I16"/>
  <c r="V19" s="1"/>
  <c r="V20" s="1"/>
  <c r="E16"/>
  <c r="E19" s="1"/>
  <c r="T19" s="1"/>
  <c r="T20" s="1"/>
  <c r="V13"/>
  <c r="V14" s="1"/>
  <c r="T13"/>
  <c r="T14" s="1"/>
  <c r="I66" i="57"/>
  <c r="C66"/>
  <c r="C67" s="1"/>
  <c r="C46"/>
  <c r="O39"/>
  <c r="I16"/>
  <c r="I19" s="1"/>
  <c r="V19" s="1"/>
  <c r="V20" s="1"/>
  <c r="E16"/>
  <c r="E19" s="1"/>
  <c r="T19" s="1"/>
  <c r="T20" s="1"/>
  <c r="Q103"/>
  <c r="M97"/>
  <c r="M96"/>
  <c r="M89"/>
  <c r="M88"/>
  <c r="Q78"/>
  <c r="M67"/>
  <c r="M66"/>
  <c r="M46"/>
  <c r="C40"/>
  <c r="Q40" s="1"/>
  <c r="V29"/>
  <c r="V30" s="1"/>
  <c r="T29"/>
  <c r="T30" s="1"/>
  <c r="V27"/>
  <c r="V28" s="1"/>
  <c r="T27"/>
  <c r="T28" s="1"/>
  <c r="V16"/>
  <c r="V17" s="1"/>
  <c r="V13"/>
  <c r="V14" s="1"/>
  <c r="T13"/>
  <c r="T14" s="1"/>
  <c r="Q266" i="29"/>
  <c r="Q268" s="1"/>
  <c r="Q276" s="1"/>
  <c r="C157"/>
  <c r="C145"/>
  <c r="C93"/>
  <c r="C91"/>
  <c r="Q84" i="62"/>
  <c r="Q92" s="1"/>
  <c r="G93" s="1"/>
  <c r="Q94" s="1"/>
  <c r="Q88"/>
  <c r="Q89" s="1"/>
  <c r="O62"/>
  <c r="K18" i="69" l="1"/>
  <c r="O27" i="65"/>
  <c r="O13"/>
  <c r="O19"/>
  <c r="O29"/>
  <c r="T16" i="57"/>
  <c r="T17" s="1"/>
  <c r="M97" i="65"/>
  <c r="C98" s="1"/>
  <c r="Q98" s="1"/>
  <c r="M43" i="67"/>
  <c r="K20"/>
  <c r="B34"/>
  <c r="O34" s="1"/>
  <c r="B21"/>
  <c r="O21" s="1"/>
  <c r="E122" i="76"/>
  <c r="L121"/>
  <c r="O124" i="72"/>
  <c r="L39" i="71"/>
  <c r="B40" s="1"/>
  <c r="O40" s="1"/>
  <c r="O6"/>
  <c r="L29"/>
  <c r="B30" s="1"/>
  <c r="E47"/>
  <c r="M29" i="70"/>
  <c r="M32" s="1"/>
  <c r="B34" s="1"/>
  <c r="P34" s="1"/>
  <c r="M51"/>
  <c r="M53" s="1"/>
  <c r="B55" s="1"/>
  <c r="P55" s="1"/>
  <c r="M131"/>
  <c r="B9"/>
  <c r="P9" s="1"/>
  <c r="E129"/>
  <c r="M129" s="1"/>
  <c r="M112"/>
  <c r="M114" s="1"/>
  <c r="B116" s="1"/>
  <c r="P116" s="1"/>
  <c r="M85"/>
  <c r="M86"/>
  <c r="B163"/>
  <c r="P163" s="1"/>
  <c r="E88"/>
  <c r="M88" s="1"/>
  <c r="E89"/>
  <c r="M89" s="1"/>
  <c r="E91"/>
  <c r="M91" s="1"/>
  <c r="M67" i="65"/>
  <c r="B73" s="1"/>
  <c r="M73" s="1"/>
  <c r="C74" s="1"/>
  <c r="Q74" s="1"/>
  <c r="K30" i="69"/>
  <c r="B39"/>
  <c r="O39" s="1"/>
  <c r="K23"/>
  <c r="G62" i="67"/>
  <c r="G69" s="1"/>
  <c r="G77" s="1"/>
  <c r="G70"/>
  <c r="M63"/>
  <c r="M44"/>
  <c r="M46" s="1"/>
  <c r="G50"/>
  <c r="M50" s="1"/>
  <c r="G110" i="65"/>
  <c r="M110" s="1"/>
  <c r="C90"/>
  <c r="Q90" s="1"/>
  <c r="C68"/>
  <c r="Q68" s="1"/>
  <c r="T16"/>
  <c r="T17" s="1"/>
  <c r="V16"/>
  <c r="V17" s="1"/>
  <c r="M90" i="57"/>
  <c r="M98"/>
  <c r="C99" s="1"/>
  <c r="Q99" s="1"/>
  <c r="O27"/>
  <c r="O13"/>
  <c r="O29"/>
  <c r="O19"/>
  <c r="O16"/>
  <c r="O56" i="40"/>
  <c r="K25" i="69" l="1"/>
  <c r="B26" s="1"/>
  <c r="F5" i="84" s="1"/>
  <c r="K32" i="69"/>
  <c r="B33" s="1"/>
  <c r="F6" i="84" s="1"/>
  <c r="K12" i="69"/>
  <c r="B13"/>
  <c r="B19" s="1"/>
  <c r="O30" i="65"/>
  <c r="O16"/>
  <c r="O21" s="1"/>
  <c r="C22" s="1"/>
  <c r="Q22" s="1"/>
  <c r="M62" i="67"/>
  <c r="M69"/>
  <c r="B47"/>
  <c r="O47" s="1"/>
  <c r="M52"/>
  <c r="B53" s="1"/>
  <c r="M65"/>
  <c r="B66" s="1"/>
  <c r="O66" s="1"/>
  <c r="L122" i="76"/>
  <c r="C127"/>
  <c r="L123"/>
  <c r="B124" s="1"/>
  <c r="O124" s="1"/>
  <c r="E62" i="71"/>
  <c r="E66" s="1"/>
  <c r="L66" s="1"/>
  <c r="L47"/>
  <c r="B48" s="1"/>
  <c r="L54"/>
  <c r="M168" i="70"/>
  <c r="M171" s="1"/>
  <c r="B173" s="1"/>
  <c r="P173" s="1"/>
  <c r="M144"/>
  <c r="D145" s="1"/>
  <c r="M145" s="1"/>
  <c r="M146" s="1"/>
  <c r="B148" s="1"/>
  <c r="P148" s="1"/>
  <c r="B133"/>
  <c r="P133" s="1"/>
  <c r="M94"/>
  <c r="O13" i="69"/>
  <c r="O9"/>
  <c r="G86" i="67"/>
  <c r="M86" s="1"/>
  <c r="C95"/>
  <c r="M77"/>
  <c r="G78"/>
  <c r="M70"/>
  <c r="M72" s="1"/>
  <c r="B73" s="1"/>
  <c r="O73" s="1"/>
  <c r="C112" i="65"/>
  <c r="Q112" s="1"/>
  <c r="B111"/>
  <c r="O111" s="1"/>
  <c r="C91" i="57"/>
  <c r="Q91" s="1"/>
  <c r="G111"/>
  <c r="M111" s="1"/>
  <c r="O30"/>
  <c r="C32" s="1"/>
  <c r="O21"/>
  <c r="K79" i="62"/>
  <c r="K78"/>
  <c r="K80" s="1"/>
  <c r="B81" s="1"/>
  <c r="Q81" s="1"/>
  <c r="Q76"/>
  <c r="K74"/>
  <c r="K73"/>
  <c r="K61"/>
  <c r="B51"/>
  <c r="Q51" s="1"/>
  <c r="M33"/>
  <c r="M32"/>
  <c r="M17"/>
  <c r="M12"/>
  <c r="B13" s="1"/>
  <c r="Q13" s="1"/>
  <c r="M13"/>
  <c r="M7"/>
  <c r="M69"/>
  <c r="E69"/>
  <c r="I68"/>
  <c r="B64"/>
  <c r="M45"/>
  <c r="M51" s="1"/>
  <c r="M34"/>
  <c r="K30"/>
  <c r="G30"/>
  <c r="I29"/>
  <c r="I30" s="1"/>
  <c r="G29"/>
  <c r="M19"/>
  <c r="E19"/>
  <c r="C239" i="29"/>
  <c r="K39"/>
  <c r="K44" s="1"/>
  <c r="C54" i="40"/>
  <c r="N110" i="29"/>
  <c r="C241"/>
  <c r="N241" s="1"/>
  <c r="B242" s="1"/>
  <c r="Q242" s="1"/>
  <c r="C191"/>
  <c r="C136"/>
  <c r="C148" s="1"/>
  <c r="C141"/>
  <c r="C135"/>
  <c r="C133"/>
  <c r="C131"/>
  <c r="C143" s="1"/>
  <c r="C117"/>
  <c r="C114"/>
  <c r="C74"/>
  <c r="C82" s="1"/>
  <c r="C71"/>
  <c r="C80" s="1"/>
  <c r="C89" s="1"/>
  <c r="C109" s="1"/>
  <c r="C43"/>
  <c r="C39"/>
  <c r="N39" s="1"/>
  <c r="C37"/>
  <c r="C34"/>
  <c r="C44" s="1"/>
  <c r="C160"/>
  <c r="C159"/>
  <c r="C155"/>
  <c r="C169"/>
  <c r="C178" s="1"/>
  <c r="C176"/>
  <c r="C175"/>
  <c r="C129"/>
  <c r="C153" s="1"/>
  <c r="C81"/>
  <c r="N262"/>
  <c r="N256"/>
  <c r="N255"/>
  <c r="E213"/>
  <c r="N213" s="1"/>
  <c r="N212"/>
  <c r="I182"/>
  <c r="C182"/>
  <c r="C192" s="1"/>
  <c r="N192" s="1"/>
  <c r="I176"/>
  <c r="N176" s="1"/>
  <c r="I160"/>
  <c r="N160" s="1"/>
  <c r="I148"/>
  <c r="I136"/>
  <c r="I111"/>
  <c r="I119"/>
  <c r="I85"/>
  <c r="I76"/>
  <c r="G52"/>
  <c r="I15"/>
  <c r="E261"/>
  <c r="C261"/>
  <c r="E232"/>
  <c r="N232" s="1"/>
  <c r="C240"/>
  <c r="N37"/>
  <c r="M3" i="40"/>
  <c r="O33" i="69" l="1"/>
  <c r="O26"/>
  <c r="J6" i="84"/>
  <c r="I6"/>
  <c r="G6"/>
  <c r="G7" s="1"/>
  <c r="G8" s="1"/>
  <c r="B5" i="87" s="1"/>
  <c r="K5" s="1"/>
  <c r="J5" i="84"/>
  <c r="I5"/>
  <c r="I7" s="1"/>
  <c r="I8" s="1"/>
  <c r="B13" i="87" s="1"/>
  <c r="K13" s="1"/>
  <c r="H5" i="84"/>
  <c r="H7" s="1"/>
  <c r="H8" s="1"/>
  <c r="O19" i="69"/>
  <c r="O40" s="1"/>
  <c r="Q32" i="65"/>
  <c r="O95" i="67"/>
  <c r="C131"/>
  <c r="C135" i="76"/>
  <c r="K135" s="1"/>
  <c r="C136" s="1"/>
  <c r="L136" s="1"/>
  <c r="B137" s="1"/>
  <c r="O137" s="1"/>
  <c r="O151" s="1"/>
  <c r="K127"/>
  <c r="C128" s="1"/>
  <c r="L128" s="1"/>
  <c r="B129" s="1"/>
  <c r="O129" s="1"/>
  <c r="I67" i="71"/>
  <c r="L62"/>
  <c r="B63" s="1"/>
  <c r="O63" s="1"/>
  <c r="L55"/>
  <c r="L56" s="1"/>
  <c r="B57" s="1"/>
  <c r="O57" s="1"/>
  <c r="O48"/>
  <c r="B103" i="70"/>
  <c r="F103" s="1"/>
  <c r="B105" s="1"/>
  <c r="P105" s="1"/>
  <c r="B96"/>
  <c r="P96" s="1"/>
  <c r="P191" s="1"/>
  <c r="G87" i="67"/>
  <c r="M78"/>
  <c r="B112" i="57"/>
  <c r="O112" s="1"/>
  <c r="C113"/>
  <c r="Q113" s="1"/>
  <c r="C22"/>
  <c r="Q22" s="1"/>
  <c r="N34" i="29"/>
  <c r="K75" i="62"/>
  <c r="N257" i="29"/>
  <c r="B258" s="1"/>
  <c r="M35" i="62"/>
  <c r="M29"/>
  <c r="M30"/>
  <c r="B69"/>
  <c r="Q69" s="1"/>
  <c r="M37"/>
  <c r="N261" i="29"/>
  <c r="C52"/>
  <c r="C76" s="1"/>
  <c r="C85" s="1"/>
  <c r="N85" s="1"/>
  <c r="N136"/>
  <c r="N44"/>
  <c r="K41"/>
  <c r="K43"/>
  <c r="N43" s="1"/>
  <c r="N148"/>
  <c r="C119"/>
  <c r="N119" s="1"/>
  <c r="N214"/>
  <c r="B215" s="1"/>
  <c r="N52"/>
  <c r="N182"/>
  <c r="N15"/>
  <c r="R258"/>
  <c r="Q258"/>
  <c r="N263"/>
  <c r="B264" s="1"/>
  <c r="Q264" s="1"/>
  <c r="C190"/>
  <c r="C189"/>
  <c r="C188"/>
  <c r="N191"/>
  <c r="N190"/>
  <c r="N189"/>
  <c r="N188"/>
  <c r="M194"/>
  <c r="C184"/>
  <c r="I181"/>
  <c r="N181" s="1"/>
  <c r="I180"/>
  <c r="I179"/>
  <c r="I178"/>
  <c r="N178" s="1"/>
  <c r="I175"/>
  <c r="N175" s="1"/>
  <c r="C173"/>
  <c r="C180" s="1"/>
  <c r="C171"/>
  <c r="C179" s="1"/>
  <c r="I173"/>
  <c r="N173" s="1"/>
  <c r="I171"/>
  <c r="N171" s="1"/>
  <c r="I169"/>
  <c r="N169" s="1"/>
  <c r="I159"/>
  <c r="N159" s="1"/>
  <c r="I157"/>
  <c r="N157" s="1"/>
  <c r="I155"/>
  <c r="N155" s="1"/>
  <c r="I153"/>
  <c r="N153" s="1"/>
  <c r="I147"/>
  <c r="N147" s="1"/>
  <c r="I145"/>
  <c r="N145" s="1"/>
  <c r="I143"/>
  <c r="N143" s="1"/>
  <c r="I141"/>
  <c r="N141" s="1"/>
  <c r="I129"/>
  <c r="I135"/>
  <c r="N135" s="1"/>
  <c r="I133"/>
  <c r="I131"/>
  <c r="N129"/>
  <c r="I117"/>
  <c r="N117" s="1"/>
  <c r="I114"/>
  <c r="N114" s="1"/>
  <c r="I109"/>
  <c r="N109" s="1"/>
  <c r="C90"/>
  <c r="C111" s="1"/>
  <c r="N111" s="1"/>
  <c r="I93"/>
  <c r="N93" s="1"/>
  <c r="I91"/>
  <c r="N91" s="1"/>
  <c r="I90"/>
  <c r="I89"/>
  <c r="N89" s="1"/>
  <c r="C87"/>
  <c r="I84"/>
  <c r="I82"/>
  <c r="N82" s="1"/>
  <c r="I81"/>
  <c r="I80"/>
  <c r="N80" s="1"/>
  <c r="C73"/>
  <c r="I73"/>
  <c r="I71"/>
  <c r="N71" s="1"/>
  <c r="I74"/>
  <c r="N74" s="1"/>
  <c r="G51"/>
  <c r="G50"/>
  <c r="G49"/>
  <c r="G48"/>
  <c r="C33"/>
  <c r="N33" s="1"/>
  <c r="C32"/>
  <c r="C31"/>
  <c r="C49" s="1"/>
  <c r="N49" s="1"/>
  <c r="N32"/>
  <c r="N31"/>
  <c r="G9"/>
  <c r="I9" s="1"/>
  <c r="G13"/>
  <c r="I13" s="1"/>
  <c r="N13" s="1"/>
  <c r="G11"/>
  <c r="I11" s="1"/>
  <c r="N11" s="1"/>
  <c r="M65" i="57"/>
  <c r="M68" s="1"/>
  <c r="M44"/>
  <c r="O54" i="40"/>
  <c r="U3" i="29"/>
  <c r="O51" i="40"/>
  <c r="O49"/>
  <c r="N49"/>
  <c r="K49"/>
  <c r="C45"/>
  <c r="O45" s="1"/>
  <c r="B45"/>
  <c r="B49" s="1"/>
  <c r="B51" s="1"/>
  <c r="B54" s="1"/>
  <c r="L37"/>
  <c r="M26"/>
  <c r="D27" s="1"/>
  <c r="M27" s="1"/>
  <c r="D28" s="1"/>
  <c r="M28" s="1"/>
  <c r="L30" s="1"/>
  <c r="F22"/>
  <c r="M20"/>
  <c r="N16"/>
  <c r="N22" s="1"/>
  <c r="F16"/>
  <c r="M14"/>
  <c r="K14"/>
  <c r="M11"/>
  <c r="M16" s="1"/>
  <c r="M22" s="1"/>
  <c r="K11"/>
  <c r="K16" s="1"/>
  <c r="K22" s="1"/>
  <c r="K30" s="1"/>
  <c r="F11"/>
  <c r="M9"/>
  <c r="M4"/>
  <c r="B5" s="1"/>
  <c r="N234" i="29"/>
  <c r="C234"/>
  <c r="C203"/>
  <c r="N198"/>
  <c r="N199" s="1"/>
  <c r="B200" s="1"/>
  <c r="C162"/>
  <c r="O150"/>
  <c r="O162" s="1"/>
  <c r="C150"/>
  <c r="C106"/>
  <c r="M103"/>
  <c r="C101"/>
  <c r="E99"/>
  <c r="M98"/>
  <c r="E104"/>
  <c r="E98"/>
  <c r="E103" s="1"/>
  <c r="C65"/>
  <c r="C30"/>
  <c r="C48" s="1"/>
  <c r="M65"/>
  <c r="M78" s="1"/>
  <c r="M101" s="1"/>
  <c r="W3"/>
  <c r="I7"/>
  <c r="I98"/>
  <c r="I103" s="1"/>
  <c r="G98"/>
  <c r="G103" s="1"/>
  <c r="G7"/>
  <c r="G104"/>
  <c r="M203"/>
  <c r="M215" s="1"/>
  <c r="M234" s="1"/>
  <c r="L67" i="71" l="1"/>
  <c r="L68" s="1"/>
  <c r="B70" s="1"/>
  <c r="J7" i="84"/>
  <c r="J8" s="1"/>
  <c r="B17" i="87" s="1"/>
  <c r="K17" s="1"/>
  <c r="K20" s="1"/>
  <c r="I13" i="89" s="1"/>
  <c r="I15" s="1"/>
  <c r="M87" i="67"/>
  <c r="M89" s="1"/>
  <c r="B90" s="1"/>
  <c r="O90" s="1"/>
  <c r="C96"/>
  <c r="C160"/>
  <c r="M160" s="1"/>
  <c r="E136"/>
  <c r="M136" s="1"/>
  <c r="M131"/>
  <c r="M80"/>
  <c r="B81" s="1"/>
  <c r="O81" s="1"/>
  <c r="O155" i="76"/>
  <c r="O159"/>
  <c r="C100" i="71"/>
  <c r="Q117" i="65"/>
  <c r="Q120" s="1"/>
  <c r="M47" i="57"/>
  <c r="C48" s="1"/>
  <c r="Q48" s="1"/>
  <c r="B74"/>
  <c r="M74" s="1"/>
  <c r="C75" s="1"/>
  <c r="Q75" s="1"/>
  <c r="C69"/>
  <c r="Q69" s="1"/>
  <c r="Q32"/>
  <c r="L38" i="40"/>
  <c r="B39" s="1"/>
  <c r="B60" s="1"/>
  <c r="L60" s="1"/>
  <c r="B61" s="1"/>
  <c r="O61" s="1"/>
  <c r="N76" i="29"/>
  <c r="M8" i="62"/>
  <c r="B9" s="1"/>
  <c r="Q9" s="1"/>
  <c r="M18"/>
  <c r="B19" s="1"/>
  <c r="S51" i="40"/>
  <c r="S49"/>
  <c r="C50" i="29"/>
  <c r="N50" s="1"/>
  <c r="C41"/>
  <c r="N41" s="1"/>
  <c r="G46" s="1"/>
  <c r="N149"/>
  <c r="B150" s="1"/>
  <c r="N161"/>
  <c r="B194"/>
  <c r="Q194" s="1"/>
  <c r="R264"/>
  <c r="M10" i="40"/>
  <c r="B11" s="1"/>
  <c r="O11" s="1"/>
  <c r="M21"/>
  <c r="B22" s="1"/>
  <c r="O22" s="1"/>
  <c r="M15"/>
  <c r="B16" s="1"/>
  <c r="O16" s="1"/>
  <c r="N179" i="29"/>
  <c r="B162"/>
  <c r="N90"/>
  <c r="N180"/>
  <c r="N131"/>
  <c r="N133"/>
  <c r="N81"/>
  <c r="B96"/>
  <c r="N73"/>
  <c r="I75"/>
  <c r="C51"/>
  <c r="N48"/>
  <c r="G99"/>
  <c r="N9"/>
  <c r="N231"/>
  <c r="N233" s="1"/>
  <c r="B234" s="1"/>
  <c r="N239"/>
  <c r="O5" i="40"/>
  <c r="N30" i="29"/>
  <c r="N7"/>
  <c r="N103"/>
  <c r="B106" s="1"/>
  <c r="Q106" s="1"/>
  <c r="M138"/>
  <c r="M150" s="1"/>
  <c r="M162" s="1"/>
  <c r="M106"/>
  <c r="B203"/>
  <c r="Q203" s="1"/>
  <c r="Q200"/>
  <c r="Q215"/>
  <c r="C132" i="67" l="1"/>
  <c r="O96"/>
  <c r="R96"/>
  <c r="R98" s="1"/>
  <c r="C110" s="1"/>
  <c r="L87" i="71"/>
  <c r="L85"/>
  <c r="E86"/>
  <c r="L86" s="1"/>
  <c r="Q118" i="57"/>
  <c r="Q121" s="1"/>
  <c r="S52" i="40"/>
  <c r="Q19" i="62"/>
  <c r="O39" i="40"/>
  <c r="N51" i="29"/>
  <c r="C75"/>
  <c r="C84" s="1"/>
  <c r="N84" s="1"/>
  <c r="Q96"/>
  <c r="N137"/>
  <c r="B138" s="1"/>
  <c r="N183"/>
  <c r="B184" s="1"/>
  <c r="Q184" s="1"/>
  <c r="N35"/>
  <c r="N16"/>
  <c r="B18" s="1"/>
  <c r="B240"/>
  <c r="F29" i="40"/>
  <c r="B30" s="1"/>
  <c r="O30" s="1"/>
  <c r="Q234" i="29"/>
  <c r="I247"/>
  <c r="B249" s="1"/>
  <c r="N249" s="1"/>
  <c r="B251" s="1"/>
  <c r="Q251" s="1"/>
  <c r="B123"/>
  <c r="C98"/>
  <c r="N98" s="1"/>
  <c r="I104"/>
  <c r="N104" s="1"/>
  <c r="N105" s="1"/>
  <c r="C149" i="67" l="1"/>
  <c r="C125"/>
  <c r="M125" s="1"/>
  <c r="M126" s="1"/>
  <c r="C127" s="1"/>
  <c r="O127" s="1"/>
  <c r="C115"/>
  <c r="M110"/>
  <c r="M111" s="1"/>
  <c r="C112" s="1"/>
  <c r="O112" s="1"/>
  <c r="C162"/>
  <c r="M162" s="1"/>
  <c r="G166" s="1"/>
  <c r="M132"/>
  <c r="M134" s="1"/>
  <c r="D140" s="1"/>
  <c r="E137"/>
  <c r="M137" s="1"/>
  <c r="M139" s="1"/>
  <c r="H140" s="1"/>
  <c r="O62" i="40"/>
  <c r="B90" i="71"/>
  <c r="M75"/>
  <c r="M76" s="1"/>
  <c r="B77" s="1"/>
  <c r="O77" s="1"/>
  <c r="O70"/>
  <c r="B44" i="62"/>
  <c r="M44" s="1"/>
  <c r="B45" s="1"/>
  <c r="B39"/>
  <c r="Q39" s="1"/>
  <c r="N75" i="29"/>
  <c r="N77" s="1"/>
  <c r="C46"/>
  <c r="N46" s="1"/>
  <c r="Q18"/>
  <c r="B87"/>
  <c r="Q87" s="1"/>
  <c r="Q240"/>
  <c r="I99"/>
  <c r="N99" s="1"/>
  <c r="N100"/>
  <c r="B101"/>
  <c r="Q101" s="1"/>
  <c r="C120" i="67" l="1"/>
  <c r="M115"/>
  <c r="M116" s="1"/>
  <c r="C117" s="1"/>
  <c r="O117" s="1"/>
  <c r="C178"/>
  <c r="C150"/>
  <c r="C151" s="1"/>
  <c r="M151" s="1"/>
  <c r="M149"/>
  <c r="K140"/>
  <c r="C141" s="1"/>
  <c r="O141" s="1"/>
  <c r="O64" i="40"/>
  <c r="O66" s="1"/>
  <c r="B78" i="29"/>
  <c r="Q78" s="1"/>
  <c r="N62"/>
  <c r="N53"/>
  <c r="E185" i="67" l="1"/>
  <c r="L185" s="1"/>
  <c r="B186" s="1"/>
  <c r="O186" s="1"/>
  <c r="M178"/>
  <c r="C179" s="1"/>
  <c r="O179" s="1"/>
  <c r="M153"/>
  <c r="C166" s="1"/>
  <c r="M166" s="1"/>
  <c r="C167" s="1"/>
  <c r="O167" s="1"/>
  <c r="O189" s="1"/>
  <c r="B95" i="71"/>
  <c r="L95" s="1"/>
  <c r="B96" s="1"/>
  <c r="O90"/>
  <c r="O120" s="1"/>
  <c r="B54" i="29"/>
  <c r="B65"/>
  <c r="Q123"/>
  <c r="Q138"/>
  <c r="Q54" l="1"/>
  <c r="Q65"/>
  <c r="Q150"/>
  <c r="Q162" l="1"/>
  <c r="C108" i="71" l="1"/>
  <c r="C109" s="1"/>
  <c r="K100"/>
  <c r="L101" s="1"/>
  <c r="B102" s="1"/>
  <c r="Q272" i="29"/>
  <c r="Q273" s="1"/>
  <c r="L109" i="71" l="1"/>
  <c r="B110" s="1"/>
  <c r="L117"/>
  <c r="B118" s="1"/>
  <c r="O118" s="1"/>
</calcChain>
</file>

<file path=xl/sharedStrings.xml><?xml version="1.0" encoding="utf-8"?>
<sst xmlns="http://schemas.openxmlformats.org/spreadsheetml/2006/main" count="5120" uniqueCount="815">
  <si>
    <t>Rate</t>
  </si>
  <si>
    <t>P%0Cft</t>
  </si>
  <si>
    <t>x</t>
  </si>
  <si>
    <t xml:space="preserve"> =</t>
  </si>
  <si>
    <t>Total</t>
  </si>
  <si>
    <t>Rs</t>
  </si>
  <si>
    <t>Cft</t>
  </si>
  <si>
    <t>P%Sft</t>
  </si>
  <si>
    <t>Sft</t>
  </si>
  <si>
    <t>Cwt</t>
  </si>
  <si>
    <t>Rft</t>
  </si>
  <si>
    <t xml:space="preserve"> @Rs</t>
  </si>
  <si>
    <t>P%Cft</t>
  </si>
  <si>
    <t>R.C.C work i/c all labour and material except the cost of steel</t>
  </si>
  <si>
    <t>P-Rft</t>
  </si>
  <si>
    <t xml:space="preserve"> </t>
  </si>
  <si>
    <t>Rs:</t>
  </si>
  <si>
    <t xml:space="preserve"> @Rs:</t>
  </si>
  <si>
    <t>Cft.</t>
  </si>
  <si>
    <t xml:space="preserve"> @ Rs:</t>
  </si>
  <si>
    <t>Dikka in front of shop</t>
  </si>
  <si>
    <t>=</t>
  </si>
  <si>
    <t>Shops</t>
  </si>
  <si>
    <t>Dismantling of C.C Reinforced Separting Reinforcement from Concrete, cleaning</t>
  </si>
  <si>
    <t xml:space="preserve"> and straighting the same. (G.S.I No 20 P/ 11)</t>
  </si>
  <si>
    <t>Cross</t>
  </si>
  <si>
    <t xml:space="preserve">Add Every 50' additional lead or part there of </t>
  </si>
  <si>
    <t>P% Cft</t>
  </si>
  <si>
    <t>Horizental lead (2500 Rft)</t>
  </si>
  <si>
    <t>Lead.</t>
  </si>
  <si>
    <t>(-)</t>
  </si>
  <si>
    <t xml:space="preserve"> /</t>
  </si>
  <si>
    <t>Qty: as item No: 1,2,3,&amp; 4.</t>
  </si>
  <si>
    <t>Deduction</t>
  </si>
  <si>
    <t>Say</t>
  </si>
  <si>
    <t>Ded:</t>
  </si>
  <si>
    <t>Dismantling and removing Road Metalling (G.S.I No. 51 P/ 13)</t>
  </si>
  <si>
    <t>Dismantling of Brick Work in lime or cement mortor (G.S.I No 13 P/ 10)</t>
  </si>
  <si>
    <t>Dismantling of C.C plain 1:2:4 ( G.S.I No 19 P/ 10)</t>
  </si>
  <si>
    <t>Add:</t>
  </si>
  <si>
    <t>Nos:</t>
  </si>
  <si>
    <t>Non Sch: Items</t>
  </si>
  <si>
    <t xml:space="preserve">below </t>
  </si>
  <si>
    <t>Net</t>
  </si>
  <si>
    <t>Excavation of well in dry upto 20’ below ground level and disposal of</t>
  </si>
  <si>
    <t>0' to 5' depth</t>
  </si>
  <si>
    <t xml:space="preserve"> +</t>
  </si>
  <si>
    <t xml:space="preserve"> @RS:</t>
  </si>
  <si>
    <t>P/Cft</t>
  </si>
  <si>
    <t>R.C.C work i/c all labour and material except the cost of steel reinforcement  .</t>
  </si>
  <si>
    <t>and its labour for b/b which will be paid separately. This rate also</t>
  </si>
  <si>
    <t>i/c all kinds of formsmoulds lifting, hutting, curing, rendering and</t>
  </si>
  <si>
    <t>finishing the exposed surface (i/c s/w of shingle) (a) R.C work</t>
  </si>
  <si>
    <t>inroof slab beams columns rafts lintels and other structural</t>
  </si>
  <si>
    <t xml:space="preserve"> members laid in situ or prrecast laid in position complete in all</t>
  </si>
  <si>
    <t xml:space="preserve"> respect. (I) Ratio 1:2:4 Lbs cement 2 Cft, sand 4 cft shingle</t>
  </si>
  <si>
    <t>Curb.</t>
  </si>
  <si>
    <t>Fabrication of mild steel reinforcement  for C.C i/c cutting,</t>
  </si>
  <si>
    <t>bending, laying in position making joints and fastening i/c</t>
  </si>
  <si>
    <t>Cwt.</t>
  </si>
  <si>
    <t>P/Cwt</t>
  </si>
  <si>
    <t xml:space="preserve"> drivers i/c all charges of shoring loading and removing excavated</t>
  </si>
  <si>
    <t>5' to 10'</t>
  </si>
  <si>
    <t>10' to 15'</t>
  </si>
  <si>
    <t>15' to 20'</t>
  </si>
  <si>
    <t>20' to 25'</t>
  </si>
  <si>
    <r>
      <t xml:space="preserve"> </t>
    </r>
    <r>
      <rPr>
        <sz val="12"/>
        <rFont val="Times New Roman"/>
        <family val="1"/>
      </rPr>
      <t>Cement concrete Brick or stone ballest 1 ½” to 2” gauged ratio (1:4:8)</t>
    </r>
  </si>
  <si>
    <t xml:space="preserve">Cement concrete plain i/c placing compacting finishing and curing </t>
  </si>
  <si>
    <t>complete i/c screening and washing of stone aggregate without shuttering</t>
  </si>
  <si>
    <t>Rft.</t>
  </si>
  <si>
    <t>P/Rft</t>
  </si>
  <si>
    <t>Bailing or pumping out sub soil water during excavated concerting cost in situ</t>
  </si>
  <si>
    <t>1st Opration</t>
  </si>
  <si>
    <t>2nd opration</t>
  </si>
  <si>
    <t>Providing Construction joints in concrete work of 9” (225mm)</t>
  </si>
  <si>
    <t>made corrugated P.V.C water stop (with bulb) i/c soldering, cost</t>
  </si>
  <si>
    <t>Fabrication of heavy steel work with angles tees flats, iron, round and sheet</t>
  </si>
  <si>
    <t>iron for making trusses, girding tank etc. including cutting riveting handling</t>
  </si>
  <si>
    <t>Erection and fitting in position of iron trusses staging of water tank etc</t>
  </si>
  <si>
    <t>Excavation for pipe lines in trenches in pits in soft soil i/c</t>
  </si>
  <si>
    <t>trimming dressing sides to true alignment shape leveling</t>
  </si>
  <si>
    <t>of beds of trenches to correct level and grade cutting joints holes and</t>
  </si>
  <si>
    <t>disposal of surplus earth within one chain as direct by</t>
  </si>
  <si>
    <t>engineer incharge providing fence guards lights whenever</t>
  </si>
  <si>
    <t>and temporary crossing for non vehicular traffic whenever required</t>
  </si>
  <si>
    <t>0' to 5' Depth</t>
  </si>
  <si>
    <t>P%0 Cft</t>
  </si>
  <si>
    <t>Excavation for pipe lines in trenches in pits in wet soil i/c</t>
  </si>
  <si>
    <t>5' to 8' Depth</t>
  </si>
  <si>
    <t>Providing and R.C.C Pipe of A.S.T.M C-76-62 T/C-76-70 Class-II wall-B and</t>
  </si>
  <si>
    <t>fixing in trenches i/c cutting fitting and jointing with rubber ring i/c testing</t>
  </si>
  <si>
    <t xml:space="preserve">18" dia </t>
  </si>
  <si>
    <t>Refilling the Excavated stuff in trenches 6” thick layers leveling</t>
  </si>
  <si>
    <t>i/c watering ramming to full compaction etc complete</t>
  </si>
  <si>
    <t xml:space="preserve">Qtty: of Item No. </t>
  </si>
  <si>
    <t>Excavation in foundation of building bridges and other structures.</t>
  </si>
  <si>
    <t>I/c dag belling dressing refilling around the structures with excavated</t>
  </si>
  <si>
    <t>Earth watering ramming lead up to one chain and lift up to 5’ (G.S.I. No. 18 P/ 04)</t>
  </si>
  <si>
    <t>Long Wall</t>
  </si>
  <si>
    <t>S/Wall</t>
  </si>
  <si>
    <t xml:space="preserve">Cement concrete brick or stone ballast 1 ½” to 2” gauge.  </t>
  </si>
  <si>
    <t>(Ratio 1:4:8) (G.S.I No. 4 P/ 14)</t>
  </si>
  <si>
    <t>(G.S.I. No 5 P/ 20)</t>
  </si>
  <si>
    <t>M.H.Cover</t>
  </si>
  <si>
    <t>reinforcement and its labour for b/b which will be paid separately.</t>
  </si>
  <si>
    <t>This rate also i/c all kinds of forms moulds lifting, shutting, curing,</t>
  </si>
  <si>
    <t>rendering and finishing the exposed surface (i/c s/w of shingle) (a) R.C work in</t>
  </si>
  <si>
    <t xml:space="preserve">roof slab beams columns rafts lintels and other structural members laid in </t>
  </si>
  <si>
    <t xml:space="preserve">situ or prrecast laid in position complete in all respect. (I) Ratio 2:2:4 Lbs </t>
  </si>
  <si>
    <t>cement2 Cft, sand 4 cft shingle1/8” to ¼” gauge. (G.S.I No. 6 P/ 16).</t>
  </si>
  <si>
    <t xml:space="preserve">Fabrication of mild steel reinforcement  for C.C i/c cutting,  bending, </t>
  </si>
  <si>
    <t>laying in position making joints and fastening i/c cost of binding wire</t>
  </si>
  <si>
    <t>(also i/c removal of rust from bars).(G.S.I No 8 P/ 16)</t>
  </si>
  <si>
    <t xml:space="preserve">Fabrication of heavy steel work with angles tees, flat iron round iron and sheet iron </t>
  </si>
  <si>
    <t xml:space="preserve">for making trsses girders, tanks etc: i/c cutting tanks etc: i/c cutting drilling riveting </t>
  </si>
  <si>
    <t>handling assembling and fixing but excluding erection in positiion. (CSI- 2, P-91)</t>
  </si>
  <si>
    <t>Erection and fitting in position of iron trusses staging of water tanks etc:</t>
  </si>
  <si>
    <t>(C.S.I.No. 3 P/ 91)</t>
  </si>
  <si>
    <t>Qty: same as item No:</t>
  </si>
  <si>
    <t>soil within 1 chain in (ordinary soil) (G.S.I-1 (a) P/ 85).</t>
  </si>
  <si>
    <t>1/8” to ¼” gauge. (G.S.I No. 6 P/ 16)</t>
  </si>
  <si>
    <t>cost of binding wire(also i/c removal of rust from bars).(G.S.I No 8 P/ 16)</t>
  </si>
  <si>
    <t>material with in 1 chain ( in ordinary soil) ( G.S.I No 03 P/ 86 )</t>
  </si>
  <si>
    <t>(G.S.I-4 (b) P/ 14)</t>
  </si>
  <si>
    <t>(GSI No. 5 p/ 15)</t>
  </si>
  <si>
    <t>concrete or masonary work information etc complete (P.H.S-I/ 18 P/ 75)</t>
  </si>
  <si>
    <t xml:space="preserve">of material and labour ( P.H.S.I -1 P/ 56) </t>
  </si>
  <si>
    <t>erection in position ( G.S.I -2 P/ 90).</t>
  </si>
  <si>
    <t xml:space="preserve">( G.S.I-3 P/ 90)  </t>
  </si>
  <si>
    <t>lift upto 5 Ft and lead upto one chain (P.H.S.I. No. 1 P/ 60)</t>
  </si>
  <si>
    <t>lift upto 5 Ft and lead upto one chain (P.H.S.I. No. 14 P/ 66)</t>
  </si>
  <si>
    <t>lift upto 5 Ft and lead upto one chain (P.H.S.I. No. 15 P/ 67)</t>
  </si>
  <si>
    <t>with water to specified pressure (P/H.S-I -1 P/17)</t>
  </si>
  <si>
    <t>(P.H.S.I. No.24 P/ 77)</t>
  </si>
  <si>
    <t xml:space="preserve">Cement, Plaster (1:4) up to 12’ height ½” thick (G.S.I. No.11 P/51) </t>
  </si>
  <si>
    <t>+</t>
  </si>
  <si>
    <t>G.Total</t>
  </si>
  <si>
    <t xml:space="preserve">Excavation for pipe line entrenches and pits in soft soils i/c trimming and dressing sides to true </t>
  </si>
  <si>
    <t xml:space="preserve">alignment and shape leveling of beds of trenches to correct level and grade cutting joint holes </t>
  </si>
  <si>
    <t xml:space="preserve">and disposal of surplus earth within a one chain as directed by Engineer incharge providing fence </t>
  </si>
  <si>
    <t xml:space="preserve">guards lights flags and temporary crossing for non vehicular traffic where were required lift upto </t>
  </si>
  <si>
    <t xml:space="preserve">5ft and lead upto one chain.(P.H.S.I-1, P-60). </t>
  </si>
  <si>
    <t>P-Each</t>
  </si>
  <si>
    <t xml:space="preserve">Refilling the excavated stuff in trenches 6” thick Layer i/c watering ramming to </t>
  </si>
  <si>
    <t>full compaction etc complete (P.H.S- I-24 P-77)</t>
  </si>
  <si>
    <t>18" dia</t>
  </si>
  <si>
    <t>P/Beam</t>
  </si>
  <si>
    <t>(Ratio 1:4:8)</t>
  </si>
  <si>
    <t>(Ratio 1:3:6)</t>
  </si>
  <si>
    <t>(Ratio 1:2:4)</t>
  </si>
  <si>
    <t>i)</t>
  </si>
  <si>
    <t>ii)</t>
  </si>
  <si>
    <t>iii)</t>
  </si>
  <si>
    <t xml:space="preserve">Providing laying &amp; fixing in trench i/c fitting jointing and testing etc: </t>
  </si>
  <si>
    <t xml:space="preserve">complete in all respect the high density polythylene PE pipes </t>
  </si>
  <si>
    <t xml:space="preserve">(HDPE-100) for W/S confirming ISO 4427/DIN8074/8075 </t>
  </si>
  <si>
    <t>B.S 3580 &amp; PSI 3051. (P.H.S.I-1, P-25). PN 08.</t>
  </si>
  <si>
    <t>16" dia (450mm)</t>
  </si>
  <si>
    <t>HDPE (PE100) fittings (PH.Sch: of Mat: Item No:1, P-18)</t>
  </si>
  <si>
    <t>Elbow / Bend 45 Degree</t>
  </si>
  <si>
    <t>Elbow / Bend 90 Degree</t>
  </si>
  <si>
    <t>But fusion joint (PH.Sch: of Mat: I-H, P-20)</t>
  </si>
  <si>
    <t>(30 ft: dia)</t>
  </si>
  <si>
    <t>RCC Collecting Tanks</t>
  </si>
  <si>
    <t>(25 ft: dia)</t>
  </si>
  <si>
    <t>(20 ft: dia)</t>
  </si>
  <si>
    <t xml:space="preserve">(15 ft: dia ) </t>
  </si>
  <si>
    <t>cft</t>
  </si>
  <si>
    <t>25 ft: dia)</t>
  </si>
  <si>
    <t>20 ft: dia)</t>
  </si>
  <si>
    <t>15 ft: dia)</t>
  </si>
  <si>
    <t>30 ft: dia</t>
  </si>
  <si>
    <t>25 ft: dia</t>
  </si>
  <si>
    <t>20 ft: dia</t>
  </si>
  <si>
    <t>15 ft: dia</t>
  </si>
  <si>
    <t>Wall of  C/T</t>
  </si>
  <si>
    <t>(15 ft: dia)</t>
  </si>
  <si>
    <t>S/chamber</t>
  </si>
  <si>
    <t>@</t>
  </si>
  <si>
    <t xml:space="preserve">`                                                                            </t>
  </si>
  <si>
    <t>rft</t>
  </si>
  <si>
    <t>/</t>
  </si>
  <si>
    <t>Nos</t>
  </si>
  <si>
    <t>Total:</t>
  </si>
  <si>
    <t>cwt</t>
  </si>
  <si>
    <t>G.Total:</t>
  </si>
  <si>
    <t xml:space="preserve">S.wall </t>
  </si>
  <si>
    <t>sft</t>
  </si>
  <si>
    <t>@ Rs</t>
  </si>
  <si>
    <t>GTotal.</t>
  </si>
  <si>
    <t>Wet sinking of wells for depth below spring level by means of</t>
  </si>
  <si>
    <t>1/2</t>
  </si>
  <si>
    <t xml:space="preserve">24" dia </t>
  </si>
  <si>
    <t xml:space="preserve">24"dia </t>
  </si>
  <si>
    <t xml:space="preserve">18"dia </t>
  </si>
  <si>
    <t>Pacca brick work in foundation and plinth in cement sand mortar(1:6)</t>
  </si>
  <si>
    <t>(G.S.I No. 4 P/ 20)</t>
  </si>
  <si>
    <t>P.% cft</t>
  </si>
  <si>
    <t>P.% sft</t>
  </si>
  <si>
    <t xml:space="preserve">10'dia </t>
  </si>
  <si>
    <t>Deduction of Triangular portion</t>
  </si>
  <si>
    <t>A</t>
  </si>
  <si>
    <t>Net Qty</t>
  </si>
  <si>
    <t>-</t>
  </si>
  <si>
    <t>B</t>
  </si>
  <si>
    <t>Curb Qty of item No.4 A</t>
  </si>
  <si>
    <t>Wall Qty of  item No.4 B</t>
  </si>
  <si>
    <t>0.' to 5 '</t>
  </si>
  <si>
    <t xml:space="preserve">S/chamber 10'dia </t>
  </si>
  <si>
    <t>10 ft: dia</t>
  </si>
  <si>
    <t>(10 ft: dia)</t>
  </si>
  <si>
    <t xml:space="preserve">(10 ft: dia ) </t>
  </si>
  <si>
    <t>M.S Screen</t>
  </si>
  <si>
    <t>@Rs</t>
  </si>
  <si>
    <t>2x</t>
  </si>
  <si>
    <t>1x</t>
  </si>
  <si>
    <t>4x</t>
  </si>
  <si>
    <t>6x</t>
  </si>
  <si>
    <t>Extra for wet earth work ( GSI NO. 15 P-3)</t>
  </si>
  <si>
    <t>P%0cft</t>
  </si>
  <si>
    <t>Raft</t>
  </si>
  <si>
    <t xml:space="preserve"> (     5</t>
  </si>
  <si>
    <t>9.50   )</t>
  </si>
  <si>
    <t>@RS</t>
  </si>
  <si>
    <t>(    9.50</t>
  </si>
  <si>
    <t>5.0   )</t>
  </si>
  <si>
    <t>21x5x2.20</t>
  </si>
  <si>
    <t>Pacca brick work in  foundation wth  cement, sand, mortar (1:6)</t>
  </si>
  <si>
    <t>base</t>
  </si>
  <si>
    <t>side piller</t>
  </si>
  <si>
    <t>P% cft</t>
  </si>
  <si>
    <t xml:space="preserve">Cement, Plaster (1:4) up to 12’ height ½” thick (G.S.I. No.13 P/51) </t>
  </si>
  <si>
    <t>P% sft</t>
  </si>
  <si>
    <t xml:space="preserve">C.I bend 90o  16"dia </t>
  </si>
  <si>
    <t>16"dia  90o</t>
  </si>
  <si>
    <t>PART-VI      SCREENING CHAMBER</t>
  </si>
  <si>
    <t>Larkano</t>
  </si>
  <si>
    <t xml:space="preserve">above premium </t>
  </si>
  <si>
    <t>(+)</t>
  </si>
  <si>
    <t>Add: 33.70 % above prem:</t>
  </si>
  <si>
    <t>Add: 33.70% above prem  (+)</t>
  </si>
  <si>
    <t xml:space="preserve">PART-III          RCC COLLECTING TANK </t>
  </si>
  <si>
    <t>Excavation for  tank  in  reserviors in soft soil i/c</t>
  </si>
  <si>
    <t xml:space="preserve">Each </t>
  </si>
  <si>
    <t>10 Nos</t>
  </si>
  <si>
    <t xml:space="preserve">An Arobic Pond </t>
  </si>
  <si>
    <t>Qtty</t>
  </si>
  <si>
    <t>P.% o cft</t>
  </si>
  <si>
    <t xml:space="preserve">Facultative </t>
  </si>
  <si>
    <t xml:space="preserve">Maturation </t>
  </si>
  <si>
    <t>layers levelling and dressing etc completed.( GSI NO. 13(a)P-3)</t>
  </si>
  <si>
    <t>L.Bund</t>
  </si>
  <si>
    <t>S.Bund</t>
  </si>
  <si>
    <t>trimming dressing sides to true alignment  section profile  &amp; shape leveling</t>
  </si>
  <si>
    <t xml:space="preserve">of beds of trenches to correct level and grade  i/c laying of earth in 6" layers for </t>
  </si>
  <si>
    <t xml:space="preserve">construction of banks and dressing and disposal of surplus earth .Excavated earth </t>
  </si>
  <si>
    <t>Pre cost</t>
  </si>
  <si>
    <t xml:space="preserve">Wall </t>
  </si>
  <si>
    <t>P. cft</t>
  </si>
  <si>
    <t>P. cwt</t>
  </si>
  <si>
    <t>Errection and fixing in position pre coast cement concrete or stone slab in roof .</t>
  </si>
  <si>
    <t xml:space="preserve">12"dia </t>
  </si>
  <si>
    <t>P. %o cft</t>
  </si>
  <si>
    <t xml:space="preserve">Providing, laying RCC pipes of ASTM C-76-62 T/C-76-70 of class II  </t>
  </si>
  <si>
    <t xml:space="preserve">wall B and fixing in trench i/c cutting fitting and jointing with rubber ring </t>
  </si>
  <si>
    <t>i/c testing with water to specified pressure.(P.H.S.I. No. 1 P/ 17)</t>
  </si>
  <si>
    <t>P. rft</t>
  </si>
  <si>
    <t>Refilling the excavated stuff in trenches 6” thick layers leveling</t>
  </si>
  <si>
    <t>i/c watering ramming to full compaction etc complete (P.H.S.I. No.24 P/ 77)</t>
  </si>
  <si>
    <t>P.%o cft</t>
  </si>
  <si>
    <t>P.Each</t>
  </si>
  <si>
    <t xml:space="preserve">PART-XV                            OXIDATION POND </t>
  </si>
  <si>
    <t xml:space="preserve">(b) Sump Well </t>
  </si>
  <si>
    <t xml:space="preserve">Size </t>
  </si>
  <si>
    <t>)</t>
  </si>
  <si>
    <t>(</t>
  </si>
  <si>
    <t>where ever and temporary crossing for non vehicular traffic whenever required</t>
  </si>
  <si>
    <t>within one chain as directed by Engineer incharge providing fence guards lights</t>
  </si>
  <si>
    <t>i/c dag belling dressing refilling around the structures with excavated</t>
  </si>
  <si>
    <t>earth watering ramming lead up to one chain and lift up to 5’ (G.S.I. No. 18 P/ 04)</t>
  </si>
  <si>
    <t>Earth work compaction (soft ordinary or hard soil ) laying earth in 6"thick</t>
  </si>
  <si>
    <t>Supplying C.I foot steep .</t>
  </si>
  <si>
    <t xml:space="preserve"> and straighting the same. (G.S.I No 20 P/ 10)</t>
  </si>
  <si>
    <t>24" dia</t>
  </si>
  <si>
    <t>5' to 10' depth</t>
  </si>
  <si>
    <t>Excavation for pipe lines in trenches in pits in slushy daldaly soil i/c</t>
  </si>
  <si>
    <t>5' to 8' depth</t>
  </si>
  <si>
    <t>Providing an fixing / driving open tembering to trenches fror depth upto 10 ft.</t>
  </si>
  <si>
    <t>(P.H.S.I. No. 21 P/ 76)</t>
  </si>
  <si>
    <t>Bailing or pumping out sub soil situ concrete or massonary work in foundation etc:</t>
  </si>
  <si>
    <t>(P.H.S.I. No. 18(ii) P/ 75)</t>
  </si>
  <si>
    <t>Ist operation for excavation</t>
  </si>
  <si>
    <t>Stone crushed graded 1" ring.</t>
  </si>
  <si>
    <t>(P.H.S.I. No. 77 P/ 78)</t>
  </si>
  <si>
    <t>Bajri bedding in pipe line</t>
  </si>
  <si>
    <t>24"dia</t>
  </si>
  <si>
    <t>Excavation in foundation of building bridges and other structures</t>
  </si>
  <si>
    <t>i/c dig billing dressing refilling around the structures with excavated</t>
  </si>
  <si>
    <t>Earth watering ramming up to 5ft (b) in ordinary soil (G.S.I-18/ P/4)</t>
  </si>
  <si>
    <t>Main hole chamber</t>
  </si>
  <si>
    <t xml:space="preserve">4'dia </t>
  </si>
  <si>
    <t>Extra for wet earth work (G.S.I-15, P-3)</t>
  </si>
  <si>
    <t>Extra for slush or daldal i/c dewatering (G.S.I-16, P-4)</t>
  </si>
  <si>
    <t>Cement concrete plain i/c placing compacting finishing</t>
  </si>
  <si>
    <t>and curing complete i/c screening and washing of stone</t>
  </si>
  <si>
    <t xml:space="preserve"> aggregate without  shuttering (1:4:8) (G.S.I. No.5 P/ 15)</t>
  </si>
  <si>
    <t xml:space="preserve"> aggregate without  shuttering(1:2:4) (G.S.I. No.5 P/ 15)</t>
  </si>
  <si>
    <t>Deduction for channel</t>
  </si>
  <si>
    <t>R.C.C work i/c all labour of material except the cost of steel reinforcement and its</t>
  </si>
  <si>
    <t xml:space="preserve">labours for bending and binding which will be paid separately. This rate also i/c </t>
  </si>
  <si>
    <t xml:space="preserve">all kinds of forms moulds lifting, shuttering, curing, rendering and finishing  the </t>
  </si>
  <si>
    <t xml:space="preserve">exposed surface (a) R.C Work in roof slab beams columns rafts lintels and other </t>
  </si>
  <si>
    <t xml:space="preserve">structural members laid in situ or precast laid in position in all respect </t>
  </si>
  <si>
    <t>(1:2:4)  90Lbs  2 Cft cement 4 Cft sand 1/8” to ¼ “ gage  (G.S.I. No.6 P/ 16)</t>
  </si>
  <si>
    <t>Wall</t>
  </si>
  <si>
    <t>Roof</t>
  </si>
  <si>
    <t>For  18" dia Pipe</t>
  </si>
  <si>
    <t>For 24" dia Pipe</t>
  </si>
  <si>
    <t xml:space="preserve"> ( - )</t>
  </si>
  <si>
    <t>Fabrication of mild steel reinforcement and C.C. i/c cutting</t>
  </si>
  <si>
    <t>bending laying in position making joints and fastening wire</t>
  </si>
  <si>
    <t>also includes removal of rust from bars. (G.S.I. No.8 P/16)</t>
  </si>
  <si>
    <t xml:space="preserve">Providing C.I Main hole cover and framme i/c cost of material etc: </t>
  </si>
  <si>
    <t>(P.H.S.I-1, P-35).</t>
  </si>
  <si>
    <t>Ring and framme.</t>
  </si>
  <si>
    <t>Each Ring &amp; framme approxmaticaly weight</t>
  </si>
  <si>
    <t>Manufacturing and supplying of 24"RCC manhole cover cost in 1:2:4 concrete ratio:</t>
  </si>
  <si>
    <t xml:space="preserve">3"inch deep @ centre bars @ 4" C/C welded to 3/16"thick 2"wide M.S plate two </t>
  </si>
  <si>
    <t xml:space="preserve">hook of 3/8"dia for bars i/c compacting i/c curring and transportation within 10 miles </t>
  </si>
  <si>
    <t xml:space="preserve">( Sch: of W/S &amp; Sant: works No.I P- 31)  2ft: dia </t>
  </si>
  <si>
    <t>P/each</t>
  </si>
  <si>
    <t>Add: 33.70% above prem:</t>
  </si>
  <si>
    <t>Assitant Engineer</t>
  </si>
  <si>
    <t>Executive Engineer</t>
  </si>
  <si>
    <t>Public Health Engg:S/Division-I</t>
  </si>
  <si>
    <t>Public Health Engg:Division-I</t>
  </si>
  <si>
    <t xml:space="preserve">Revised Estimate for </t>
  </si>
  <si>
    <t>Construction of Various Disposal works Comprising on Collecting Tanks, Screening chambers, Pump Houses, Pumping Machinery, Rising mains &amp; Main RCC Nalas for Extension &amp; Improvement for Existing Sewerage System of  Larkano city.</t>
  </si>
  <si>
    <t xml:space="preserve">GENERAL ABSTRACT OF COST </t>
  </si>
  <si>
    <t xml:space="preserve">Work to be done </t>
  </si>
  <si>
    <t xml:space="preserve">Work to be Done </t>
  </si>
  <si>
    <t>S.#</t>
  </si>
  <si>
    <t>Qty</t>
  </si>
  <si>
    <t>Item</t>
  </si>
  <si>
    <t>Unit</t>
  </si>
  <si>
    <t xml:space="preserve">Amount </t>
  </si>
  <si>
    <t>Barrow pit excavation undressed lead upto 100ft ordinary soil</t>
  </si>
  <si>
    <t>(G.S.I. No. 3 (a) p/ 1)</t>
  </si>
  <si>
    <t xml:space="preserve">Laying arth in 6"thick layers levelling and dressing etc completed </t>
  </si>
  <si>
    <t>(G.S.I.No. 13 a p/ 3)</t>
  </si>
  <si>
    <t>Qty: same as item No.</t>
  </si>
  <si>
    <t>Extra lead for every 50' Ft: additional lead or part thereof.(GSI NO.8P-3)</t>
  </si>
  <si>
    <t>Total leads =</t>
  </si>
  <si>
    <t>(-) 100</t>
  </si>
  <si>
    <t>/50</t>
  </si>
  <si>
    <t>50  leads</t>
  </si>
  <si>
    <t xml:space="preserve">50 leads </t>
  </si>
  <si>
    <t>each 100/78      =</t>
  </si>
  <si>
    <t>Cement concrete bricks or stone ballest ½” to 2” gauge.(Ratio 1:4:8)</t>
  </si>
  <si>
    <t xml:space="preserve">(G.SI. No. 4(b) p/ 15) </t>
  </si>
  <si>
    <t>P%cft</t>
  </si>
  <si>
    <t>Cement concrete plain i/c placing compacting, finishing</t>
  </si>
  <si>
    <t xml:space="preserve">and curing complete i/c sreening  &amp; washing  of stone aggregate </t>
  </si>
  <si>
    <t>without shuttering (Ratio 1:2:4) (G.S.I No. 5 p/ 16)</t>
  </si>
  <si>
    <t>Erection and removal of centering for R.C.C or plain C.C works</t>
  </si>
  <si>
    <t>of deodar  wood (2nd class) (b) for partal wood (vertical).</t>
  </si>
  <si>
    <t>(G.S.I.No. 19 p/ 18)</t>
  </si>
  <si>
    <t>P%sft</t>
  </si>
  <si>
    <t xml:space="preserve">Add: 33.70 % above </t>
  </si>
  <si>
    <t>Assistant Engineer</t>
  </si>
  <si>
    <t>Public Health Engg: Division-I</t>
  </si>
  <si>
    <t xml:space="preserve">Item of work </t>
  </si>
  <si>
    <t>earth watering ramming lead  up to 5ft (b) in ordinary soil (G.S.I-18/ P/4)</t>
  </si>
  <si>
    <t>total</t>
  </si>
  <si>
    <t>aggregate without shuttering Ratio 1:4:8 (G.S.I-5(ii)  P/17</t>
  </si>
  <si>
    <t>Construction of standard open type drains cunette block of C.C 1:2:4 in situ to the design profile i/c cost of mould as per drawing i/c applying floating cost of cement 1/32” thick to the  exposed face finished smooth curing etc complete as per detailed drawing . (P.H.S.I No D, P/ 58)</t>
  </si>
  <si>
    <t>Type A</t>
  </si>
  <si>
    <t>Type B</t>
  </si>
  <si>
    <t>Type C</t>
  </si>
  <si>
    <t>(G.S.I No. 4 (e) P/ 21)</t>
  </si>
  <si>
    <t>Cement plaster (1:4) up to 20’height ½”thick (G.S.I-11(b) / P/52)</t>
  </si>
  <si>
    <t>reinforcement and its labour for bending and binding which will</t>
  </si>
  <si>
    <t>be paid separately. This rate also includes all kinds of forms moulds</t>
  </si>
  <si>
    <t>lifting shuttering curing rendering and finishing the exposed surface</t>
  </si>
  <si>
    <t>i/c screening and washing of shingle (a) R.C work in roof slab beams</t>
  </si>
  <si>
    <t xml:space="preserve">columns,rafts lintels &amp; other structural members </t>
  </si>
  <si>
    <t>laid in situ or precast laid in position complete in a respect. (i)</t>
  </si>
  <si>
    <t>Ratio 1;2;4 90 lbs cement 2 cft sand 4 cft shingle 1/8” to ¼” gauge.</t>
  </si>
  <si>
    <t>(G.S.I-6(a)  P/17)</t>
  </si>
  <si>
    <t>P-Cft</t>
  </si>
  <si>
    <t>Fabrication of mild steel reinforcement for cement concrete i/c</t>
  </si>
  <si>
    <t>cutting bending laying in position making joints and fastening i/c</t>
  </si>
  <si>
    <t>cost of binding wire also includes removal of rust from bars.</t>
  </si>
  <si>
    <t>(G.S.I-8-b  P/17)</t>
  </si>
  <si>
    <t>P-Cwt</t>
  </si>
  <si>
    <t>aggregate without shuttering Ratio 1:2:4 (G.S.I-5 f P/15)</t>
  </si>
  <si>
    <t>@Rs.</t>
  </si>
  <si>
    <t>80% Deduct (-)</t>
  </si>
  <si>
    <t>PART-I   RCC COVERED NALA</t>
  </si>
  <si>
    <t xml:space="preserve">Dismentalling and Removing road metalling </t>
  </si>
  <si>
    <t>(CSI No.51,  P-13)</t>
  </si>
  <si>
    <t>.</t>
  </si>
  <si>
    <t>Rs.</t>
  </si>
  <si>
    <t xml:space="preserve">Dismantelling of C.C Plain 1:2:4 </t>
  </si>
  <si>
    <t>(CSI #. 19c,  P-10)</t>
  </si>
  <si>
    <t xml:space="preserve">Dismantling of Brick or Lime cement mortor.  </t>
  </si>
  <si>
    <t>(CSI No. 13, P-10)</t>
  </si>
  <si>
    <t>Excavation for foundation of building, bridges and other structures i/c:</t>
  </si>
  <si>
    <t>deg, belling, refilling around the structures with excavated earth watering</t>
  </si>
  <si>
    <t>ramming lead up to one cvhain and lift up to 5' ft.</t>
  </si>
  <si>
    <t>(CSI #.18, P-4)</t>
  </si>
  <si>
    <t>Foot Path</t>
  </si>
  <si>
    <t>Flush</t>
  </si>
  <si>
    <t>Extra for wet earth work.</t>
  </si>
  <si>
    <t>(CSI #.15, P-3)</t>
  </si>
  <si>
    <t>Cement concrete plain i/c: placing compacting finishing</t>
  </si>
  <si>
    <r>
      <t xml:space="preserve">aggregate without shuttering </t>
    </r>
    <r>
      <rPr>
        <u/>
        <sz val="11"/>
        <rFont val="Arial"/>
        <family val="2"/>
      </rPr>
      <t xml:space="preserve">Ratio 1:4:8 </t>
    </r>
  </si>
  <si>
    <t>(CSI #.5 P-11)</t>
  </si>
  <si>
    <r>
      <t xml:space="preserve">aggregate without shuttering </t>
    </r>
    <r>
      <rPr>
        <u/>
        <sz val="11"/>
        <rFont val="Arial"/>
        <family val="2"/>
      </rPr>
      <t xml:space="preserve">Ratio 1:2:4 </t>
    </r>
  </si>
  <si>
    <r>
      <t xml:space="preserve">of partial wood of 2nd class, </t>
    </r>
    <r>
      <rPr>
        <u/>
        <sz val="12"/>
        <rFont val="Times New Roman"/>
        <family val="1"/>
      </rPr>
      <t>Ratio 1:4:8</t>
    </r>
  </si>
  <si>
    <t>(CSI #.B19,  P- 18)</t>
  </si>
  <si>
    <t>For Gola</t>
  </si>
  <si>
    <t>R.C.C work i/c: all labour and material except the cost of steel</t>
  </si>
  <si>
    <t>i/c screening and washing of shingle (a) R.C work in roof slab members</t>
  </si>
  <si>
    <t>laid in situ or prrecast laid in position complete in a respect. (i)</t>
  </si>
  <si>
    <t>Ratio 1:2:4 90 Lbs cement 2 cft sand 4 cft shingle 1/8” to ¼” gauge.</t>
  </si>
  <si>
    <t>(G.S.I-6(a) P/17)</t>
  </si>
  <si>
    <t>Walls</t>
  </si>
  <si>
    <t>Top Slabs</t>
  </si>
  <si>
    <t>(G.S.I-8(a) P/17)</t>
  </si>
  <si>
    <t>P.Cwt</t>
  </si>
  <si>
    <t>Pacca brick work in other than building in cement sand mortar Ratio 1:6   (CSI NO.7,  P-22)</t>
  </si>
  <si>
    <t>(CSI #. 5, P-25)</t>
  </si>
  <si>
    <t>Arch</t>
  </si>
  <si>
    <t>Side walls</t>
  </si>
  <si>
    <t>P.% Cft</t>
  </si>
  <si>
    <t>Extra labour for Arch work in brick masonary including labour for centering</t>
  </si>
  <si>
    <t xml:space="preserve"> and decentering.  </t>
  </si>
  <si>
    <t>(CSI #.18  P-20)</t>
  </si>
  <si>
    <r>
      <t xml:space="preserve">Cement Pointing struct joints on wall </t>
    </r>
    <r>
      <rPr>
        <u/>
        <sz val="11"/>
        <rFont val="Arial"/>
        <family val="2"/>
      </rPr>
      <t>Ratio (1:3)</t>
    </r>
    <r>
      <rPr>
        <sz val="11"/>
        <rFont val="Arial"/>
        <family val="2"/>
      </rPr>
      <t xml:space="preserve">    </t>
    </r>
  </si>
  <si>
    <t>(CSI #.19  P-59)</t>
  </si>
  <si>
    <t>P.% Sft</t>
  </si>
  <si>
    <t>Higher charges of Pumping set 10 BHP up to 10 BHP (but not less than 5 BHP)</t>
  </si>
  <si>
    <t>Pumping out water from 8 to 10 Ft: depth.   (PHSI #.23iv P-77)</t>
  </si>
  <si>
    <t>days</t>
  </si>
  <si>
    <t>Days</t>
  </si>
  <si>
    <t>P.Day</t>
  </si>
  <si>
    <t>Chemical mixture in cement pointing struct on wall Ratio (1:7) (1 bag and 7 liters of SBR)</t>
  </si>
  <si>
    <t>Quantity of Pointing</t>
  </si>
  <si>
    <t>Liters</t>
  </si>
  <si>
    <t>P. Litre</t>
  </si>
  <si>
    <t>Small iron work such as guset plate knees bends, straps, rings etc i/c:</t>
  </si>
  <si>
    <t xml:space="preserve">cutting, drilling, refilling,handling, assembling and fixing but excluding </t>
  </si>
  <si>
    <t>errection in position.</t>
  </si>
  <si>
    <t>(CSI #.1, P11)</t>
  </si>
  <si>
    <t>No.</t>
  </si>
  <si>
    <t>Refilling the excavated stuff in trenches 6" thick layers levelling i/c: watering</t>
  </si>
  <si>
    <t xml:space="preserve">to full compaction etc complete.   </t>
  </si>
  <si>
    <t>(PHSI #. 24  P-47)</t>
  </si>
  <si>
    <t>P.%0 Cft</t>
  </si>
  <si>
    <t>Add extra for every 50 Ft: additional lead or part there of (Horizental lead 1 mile)</t>
  </si>
  <si>
    <t>(Schedule of Carriage)</t>
  </si>
  <si>
    <t>Qty: of item No.1 to 4</t>
  </si>
  <si>
    <t>Deduct quantity of Refilling.(item #.17)</t>
  </si>
  <si>
    <t>Cleaning of under ground sewer by mechanical or manual method taking</t>
  </si>
  <si>
    <t>out.</t>
  </si>
  <si>
    <t>RCC Nala</t>
  </si>
  <si>
    <t>From Panj galli to Disposal work</t>
  </si>
  <si>
    <t>From Pir Girgal Shah to SCARP drain</t>
  </si>
  <si>
    <t>Ft.</t>
  </si>
  <si>
    <t>5200   x</t>
  </si>
  <si>
    <t>P. Cft</t>
  </si>
  <si>
    <t xml:space="preserve">TOTAL </t>
  </si>
  <si>
    <t>Add Every 50' additional lead or part there of (G.S.I-8, P-2)</t>
  </si>
  <si>
    <t>Horizental lead (1 Mile)</t>
  </si>
  <si>
    <t>Total Leads</t>
  </si>
  <si>
    <t>P.lead</t>
  </si>
  <si>
    <t>Qutty:</t>
  </si>
  <si>
    <t>Item No.1 to 6</t>
  </si>
  <si>
    <t>Item No.7</t>
  </si>
  <si>
    <t>Net Qutty:</t>
  </si>
  <si>
    <t>a)</t>
  </si>
  <si>
    <t>Ratio:1:4:8</t>
  </si>
  <si>
    <t>b)</t>
  </si>
  <si>
    <t>Ratio: 1:2:4</t>
  </si>
  <si>
    <t>Base</t>
  </si>
  <si>
    <t xml:space="preserve">Errection and removal centring for RCC or plain for partial wood </t>
  </si>
  <si>
    <t>(G.S.I. No.19 P/ 17)</t>
  </si>
  <si>
    <t>Vertical</t>
  </si>
  <si>
    <t>For Mould</t>
  </si>
  <si>
    <t>For Wall</t>
  </si>
  <si>
    <t>Top beam</t>
  </si>
  <si>
    <t>Top Slab</t>
  </si>
  <si>
    <t>M/H/C</t>
  </si>
  <si>
    <t>C.I Greating</t>
  </si>
  <si>
    <t>Net Qty:</t>
  </si>
  <si>
    <t xml:space="preserve">Pacca brick work other then building i/c sticking of joints </t>
  </si>
  <si>
    <t>upto 20’ height in cement sand mortar ( 1:4) (G.S.I 07 P/ 21)</t>
  </si>
  <si>
    <t>Extra Labour For Arch work in brick masonary including labour</t>
  </si>
  <si>
    <t>for centering and decentring (G.S.I 9 P/ 22)</t>
  </si>
  <si>
    <t>Cement Pointing Struck joints on walls Ratio ( 1:3) (G.S.I-19, P-52)</t>
  </si>
  <si>
    <t>Providing C.I Main Hole Cover with Frame i/c cost of material etc (PHSM.I-1 , P-35)</t>
  </si>
  <si>
    <t>Small iron work such as gusset plat knees bends stirrups straps rings</t>
  </si>
  <si>
    <t>etc i/c cutting drilling refitting handling assembling and fixing but</t>
  </si>
  <si>
    <t>excluding errection in position (G.S.I -1 P- 90)</t>
  </si>
  <si>
    <t>C.I Grating at 15' c/c</t>
  </si>
  <si>
    <t>Weight</t>
  </si>
  <si>
    <t xml:space="preserve">Supplying and Mixing chemical admixture palatinattes B.V-40 or  </t>
  </si>
  <si>
    <t>equivalent and mixing with concrete (1:2:4) (approved rate)</t>
  </si>
  <si>
    <t>Qtty: of R.C.C Slab</t>
  </si>
  <si>
    <t>Litters</t>
  </si>
  <si>
    <t>P/Litter</t>
  </si>
  <si>
    <t xml:space="preserve">Manufacturing and supplying of 24"RCC manhole cover cost in 1:2:4 concrete ratio:3"inch </t>
  </si>
  <si>
    <t>inch deep @ centre bars @ 4" C/C welded to 3/16"thick 2"wide M.S plate two hook</t>
  </si>
  <si>
    <t xml:space="preserve">of 3/8"dia for bars i/c compacting i/c curring and transportation within 10 miles </t>
  </si>
  <si>
    <t xml:space="preserve">2.0' dia </t>
  </si>
  <si>
    <t>Add: 33.70% above prem:(+)</t>
  </si>
  <si>
    <t xml:space="preserve">PART-              RCC ASTM PIPE SEWER LINE </t>
  </si>
  <si>
    <t>PART-II      PUMP HOUSE / GENERATOR ROOM ( SIZE 14'X18')</t>
  </si>
  <si>
    <t>Size (14x18)</t>
  </si>
  <si>
    <t>Steps</t>
  </si>
  <si>
    <t xml:space="preserve">L.Wall </t>
  </si>
  <si>
    <t xml:space="preserve">Steps </t>
  </si>
  <si>
    <t xml:space="preserve">floor </t>
  </si>
  <si>
    <t>Pacca brick work in  foundation and plinth in cement, sand, mortar (1:6)</t>
  </si>
  <si>
    <t>L/Wall</t>
  </si>
  <si>
    <t>b</t>
  </si>
  <si>
    <t xml:space="preserve">RCC Lintel </t>
  </si>
  <si>
    <t>D</t>
  </si>
  <si>
    <t>W</t>
  </si>
  <si>
    <t>c</t>
  </si>
  <si>
    <t>RCC Slab</t>
  </si>
  <si>
    <t>DPC wotj ce,emt samd sjomg;e concerete 1:2:4 i/c two coats of asphalt mixture (GSI NO.27P- 23)</t>
  </si>
  <si>
    <t>L.W</t>
  </si>
  <si>
    <t>S.W</t>
  </si>
  <si>
    <t>Pacca brick work in ground floor cement, sand, mortar (1:6)</t>
  </si>
  <si>
    <t>Door</t>
  </si>
  <si>
    <t>Door Lintel</t>
  </si>
  <si>
    <t>W Lintel</t>
  </si>
  <si>
    <t xml:space="preserve"> - </t>
  </si>
  <si>
    <t>Filling Watering and ramming earth in floor with new earth excavated from</t>
  </si>
  <si>
    <t>out side lead upto 1 chain and lift upto 5' (G.S.I No 22 P- 4)</t>
  </si>
  <si>
    <t>Floor</t>
  </si>
  <si>
    <t xml:space="preserve">Providing and laying 3” thick to toping Cement Concrete (1:2:4) I/c surface, </t>
  </si>
  <si>
    <t>finishing and dividing in to panel (GSI No. 16 P/42)</t>
  </si>
  <si>
    <t xml:space="preserve">Cement, Plaster (1:6) up to 12’ height ½” thick (G.S.I. No.13 P/51) </t>
  </si>
  <si>
    <t>Inner Side</t>
  </si>
  <si>
    <t>Inner side</t>
  </si>
  <si>
    <t xml:space="preserve">for stairs </t>
  </si>
  <si>
    <t>3  +  2</t>
  </si>
  <si>
    <t>B/ BPC</t>
  </si>
  <si>
    <t xml:space="preserve">Cement, Plaster (1:4) up to 12’ height 3/8” thick (G.S.I. No.11 P/51) </t>
  </si>
  <si>
    <t xml:space="preserve">Cement, pointing struct joints on Wall  Ratio:1:3 (G.S.I. No.19(b) P/59) </t>
  </si>
  <si>
    <t xml:space="preserve">Making and fixing steel grated door with 1/16” thick sheeting angle iron </t>
  </si>
  <si>
    <t xml:space="preserve">frame 2”x2”x 3/8” and ¾” sq: bars 4” Center to center  with </t>
  </si>
  <si>
    <t>locking arrangement (G.S.I. No.24 P/91)</t>
  </si>
  <si>
    <t>P/Sft</t>
  </si>
  <si>
    <t>Window</t>
  </si>
  <si>
    <t>Sft.</t>
  </si>
  <si>
    <t xml:space="preserve">Supplying and fixing in position iron / steel grill of 3/4"x1/4" size flat iron of </t>
  </si>
  <si>
    <t>approved design i/c painting 3 coats etc: complete.</t>
  </si>
  <si>
    <t>(C.S.I. No.26 P/93)</t>
  </si>
  <si>
    <t xml:space="preserve">PAINTING NEW SURFACE </t>
  </si>
  <si>
    <t xml:space="preserve">Preparing surface and painting of door and window any type i/c </t>
  </si>
  <si>
    <t>Edges 2 coats  (G.S.I. No.5 P/69)</t>
  </si>
  <si>
    <t>Khapriel of cement concrete 12"x8"x1" of approved design /shape laid flat in 1:2</t>
  </si>
  <si>
    <t>gray cement mortor over a bed of 3/4"thick grey cement mortor 1:2 ( CSI NO.39 P- 38)</t>
  </si>
  <si>
    <t xml:space="preserve"> Primary chalk distembering (GSI NO. 28P- 60)</t>
  </si>
  <si>
    <t xml:space="preserve">Qty: of same of cement plaster &amp; painting </t>
  </si>
  <si>
    <t xml:space="preserve">Roof ceilling </t>
  </si>
  <si>
    <t xml:space="preserve">Qty of stair </t>
  </si>
  <si>
    <t>P.%sft</t>
  </si>
  <si>
    <t>Distempering two coats ( GSI NO.24P- 6)</t>
  </si>
  <si>
    <t>Qty: same as item No.20</t>
  </si>
  <si>
    <t xml:space="preserve">Each P.House </t>
  </si>
  <si>
    <t>Total length</t>
  </si>
  <si>
    <t xml:space="preserve">Deduction </t>
  </si>
  <si>
    <t>Gate Piller</t>
  </si>
  <si>
    <t>Main gate</t>
  </si>
  <si>
    <t xml:space="preserve"> -</t>
  </si>
  <si>
    <t>X</t>
  </si>
  <si>
    <t>(Ratio 1:4:8) (G.S.I No. 4 P/ 17)</t>
  </si>
  <si>
    <t xml:space="preserve">DPC  with cement sand shingle concete 1:2:4 i/c  two coat of asphalt </t>
  </si>
  <si>
    <t>mixture (G.S.I. No 27 / 23)</t>
  </si>
  <si>
    <t xml:space="preserve">Pacca brick work in other then building i/c stricking of joints upto </t>
  </si>
  <si>
    <t>20ft height in cement, sand, mortar (1:6) (G.S.I. No 7 P/ 21)</t>
  </si>
  <si>
    <t>Length</t>
  </si>
  <si>
    <t>Gate</t>
  </si>
  <si>
    <t>Piller</t>
  </si>
  <si>
    <t>C/Wall</t>
  </si>
  <si>
    <t>W/Piller</t>
  </si>
  <si>
    <t xml:space="preserve">Cement, Plaster (1:6) up to 12’ height ½” thick (G.S.I. No.11 P/58) </t>
  </si>
  <si>
    <t>Wall Pannel</t>
  </si>
  <si>
    <t>Below DPC</t>
  </si>
  <si>
    <t xml:space="preserve">Cement, Plaster (1:4) up to 12’ height 3/8” thick (G.S.I. No.11 P/58) </t>
  </si>
  <si>
    <t>Cement, Pointing struck joint on walls  (1:3) (G.S.I. No.11 P/57)</t>
  </si>
  <si>
    <t>Out side</t>
  </si>
  <si>
    <t xml:space="preserve">Making and fixing steel grated door with 1/16” thick sheeting angle iron frame 2”x2”x 3/8” 
</t>
  </si>
  <si>
    <t>and ¾” sq: bars 4” Center to center  with locking arrangement (G.S.I. No.11 P/97)</t>
  </si>
  <si>
    <t xml:space="preserve">Preparing surface and painting of door and window any type i/c Edges 3 coats  
</t>
  </si>
  <si>
    <t>(G.S.I. No.5 P/6)</t>
  </si>
  <si>
    <t>Primary coat of chalk distembering ( CSI NO.28P- 60)</t>
  </si>
  <si>
    <t xml:space="preserve">Qtty: of  Cement plaster &amp; Pointing </t>
  </si>
  <si>
    <t>Gate Pillers</t>
  </si>
  <si>
    <t>Destembering two coats ( CSI NO. 24P- 60)</t>
  </si>
  <si>
    <t>Qtty:  same as item No. 13</t>
  </si>
  <si>
    <t>Baitul Mall colony</t>
  </si>
  <si>
    <t xml:space="preserve">Baitul Mall colony </t>
  </si>
  <si>
    <t>Shahbaz colony (Chandka Bridge)</t>
  </si>
  <si>
    <t xml:space="preserve">Khuda Abad Muhalla </t>
  </si>
  <si>
    <t>No</t>
  </si>
  <si>
    <t>PART-                SCREENING CHAMBER</t>
  </si>
  <si>
    <t xml:space="preserve">Shahbaz colony </t>
  </si>
  <si>
    <t>Shahbaz Colony</t>
  </si>
  <si>
    <t>1 No</t>
  </si>
  <si>
    <t>2 Nos</t>
  </si>
  <si>
    <t>x2</t>
  </si>
  <si>
    <t>PART-              COMPOUND WALL</t>
  </si>
  <si>
    <t xml:space="preserve">Length </t>
  </si>
  <si>
    <t>PART-               MAIN CC NALA   ( WIDE 2.50 FT:) (WORK TO BE DONE )</t>
  </si>
  <si>
    <t>PART-            P.E PIPE RISING MAIN  (WORK TO BE DONE)</t>
  </si>
  <si>
    <t xml:space="preserve">16" dia </t>
  </si>
  <si>
    <t>12" dia</t>
  </si>
  <si>
    <t>For 12" dia Pipe</t>
  </si>
  <si>
    <t>MANHOLES</t>
  </si>
  <si>
    <t xml:space="preserve">Supplying installing in position i/c transportation  at site of work  Electric pumping set </t>
  </si>
  <si>
    <t xml:space="preserve">60 BHP (Siemens made) framme size 250-M - 4 pole 1500 RPM totally enclosed  </t>
  </si>
  <si>
    <t xml:space="preserve">fan cooled squiral cage induction motors 3 phase 400 VAC 5% Hz 2% suitable for  </t>
  </si>
  <si>
    <t xml:space="preserve">VFD operation Ambient Temperature 40 C Alritude 1000 m above sea level Construction </t>
  </si>
  <si>
    <t xml:space="preserve">IM B3 (loot mounted) degree of protection IP 65 insulation class F service factor 1.1 </t>
  </si>
  <si>
    <t xml:space="preserve">coupled with KSB KWPZ non clogging sullage pump type 150-315  </t>
  </si>
  <si>
    <t xml:space="preserve">size 6"x6" mounted on KSB steel framme / coupling with sleeve capable of giving discharge </t>
  </si>
  <si>
    <t xml:space="preserve">950 GPM against the required head 90 ft, i/c installed on c.c foundation ration 1:2:4 </t>
  </si>
  <si>
    <t xml:space="preserve">with MS nuts &amp; bolts of 5/8"dia to be embeded in c.c foundation, supplying and </t>
  </si>
  <si>
    <t xml:space="preserve">Supplying and fixing Motor control unit (MCU) consists of circuit breaker, magnatic </t>
  </si>
  <si>
    <t xml:space="preserve">contractor over load protection under /over voltage dprotaction phase failure proection, </t>
  </si>
  <si>
    <t xml:space="preserve">Amp meter with current transformer voltmeters with potential transformer </t>
  </si>
  <si>
    <t xml:space="preserve">automatic star delta change over switch controlled power cables indicating lights </t>
  </si>
  <si>
    <t xml:space="preserve">and all theses componets are fixed in a metallic dust and smoke proof box, </t>
  </si>
  <si>
    <t xml:space="preserve">etc: complete. (Siemens made) Providing and laying (Main or sub main) PVC insulated </t>
  </si>
  <si>
    <t>with size 4-7/.064 (16mm2) copper conductor in 1-1/2" dia PVC conduit on surface</t>
  </si>
  <si>
    <t xml:space="preserve">P/F earthing set with 2'x2'x1/2' copper plate burried in ground at a depth of 12" or </t>
  </si>
  <si>
    <t xml:space="preserve">less if water common out from the ground level without and charcoal etc: i/c </t>
  </si>
  <si>
    <t xml:space="preserve">making the pipe 12" deep by excavation of all type of soil earth plain to be </t>
  </si>
  <si>
    <t>connected with c.c  bars comper with own in 1/2" G.I pipe strength from the earth plate.</t>
  </si>
  <si>
    <t xml:space="preserve">i/c earth work in the ground at depth as per Pak: PWD specification and testing the </t>
  </si>
  <si>
    <t>72 hours etc completed ( R.A attahched)</t>
  </si>
  <si>
    <t>Sets</t>
  </si>
  <si>
    <t>P/Set</t>
  </si>
  <si>
    <t xml:space="preserve">PART-        CC BLOCKS </t>
  </si>
  <si>
    <t>PART-V         Scr. Chamber (10'dia )</t>
  </si>
  <si>
    <t>PRIOVIDING &amp; INSTALLING  ELECTRIC PUMPING SET  60 BHP WITH  KWPZ  NON-CLOGGING PUMP OF DISPOSAL WORK BAITUL MALL COLONY FOR EXTENSION AND IMPROVEMENT FOR EXISTING SEWERAGE SYSTEM OF LARKANA CITY</t>
  </si>
  <si>
    <t xml:space="preserve">REVISED WORKING ESTIMATE FOR </t>
  </si>
  <si>
    <t>An- Arobic Pond (size 900'x500')</t>
  </si>
  <si>
    <t>An- Arobic Pond (size 520x350')</t>
  </si>
  <si>
    <t>Construction An Aerobic Pond at various locations of Larkano city under Extension and Improvement of Existing Sewerage System of  Larkano city.</t>
  </si>
  <si>
    <t xml:space="preserve">An Aerobic Pond (size 520' x350' ) </t>
  </si>
  <si>
    <t xml:space="preserve">An Aerobic Pond (size 900' x500' ) </t>
  </si>
  <si>
    <t xml:space="preserve">Providing laying and fixing in trenches i/c fitting jointing and </t>
  </si>
  <si>
    <t xml:space="preserve">testing etc: complete in all respect the high Density polythylene </t>
  </si>
  <si>
    <t xml:space="preserve">PE pipes (HDPE-100) for W/S confirming ISO 4427/DIN </t>
  </si>
  <si>
    <t>8074/8075 B.S 3580 &amp; PSI 3051 (P.H.S.I-1, P-25) PN-10</t>
  </si>
  <si>
    <t>Suction 6" dia (160mm)</t>
  </si>
  <si>
    <t>P/Rft.</t>
  </si>
  <si>
    <t>Delivery  8" dia (380 mm)</t>
  </si>
  <si>
    <t>C.I Bend with flange end with holes i/c turning and facing of flanges</t>
  </si>
  <si>
    <t>for all sizes. (P.H.S (M) I. No 8 P/ 12)</t>
  </si>
  <si>
    <t>Suction 6" dia 90 Degree</t>
  </si>
  <si>
    <t>Lbs</t>
  </si>
  <si>
    <t>Delivery  8" dia 90 Degree</t>
  </si>
  <si>
    <t>C.I Tee with flange end with holes i/c turning and facing of flanges</t>
  </si>
  <si>
    <t>Delivery 8" dia</t>
  </si>
  <si>
    <t>Supplying &amp; Instaling M.S pipe made out of M.S sheet 3/16"</t>
  </si>
  <si>
    <t>i/c folding to correct curvture shpe ic welding etc completed</t>
  </si>
  <si>
    <t>Suction 6" dia</t>
  </si>
  <si>
    <t xml:space="preserve">Providing and fixing M.S flange made of M.S plate having a </t>
  </si>
  <si>
    <t xml:space="preserve">thickness and total weight as mentioned against each item </t>
  </si>
  <si>
    <t xml:space="preserve">It includes the cost of making holes facing welding nuts bolts rubber  </t>
  </si>
  <si>
    <t>paking white lead fitter cartage etc: complete.</t>
  </si>
  <si>
    <t>(P.H.S I. No 8 P/ 88) 1/2" thick M.S Plate</t>
  </si>
  <si>
    <t>Each</t>
  </si>
  <si>
    <t>C.I tapered flat bottomed or central tapered flanged end with holes</t>
  </si>
  <si>
    <t xml:space="preserve">i/c turning facing flanged for all sizes (P.H.S. (M) I. No 7 P/ 11)    </t>
  </si>
  <si>
    <t>Delivey</t>
  </si>
  <si>
    <t>Reducer 8”x6”</t>
  </si>
  <si>
    <t>P/Cwt.</t>
  </si>
  <si>
    <t>C.I sluice valve heavy pattern test pressure 21 kg /sq, cm or 300 lbs /sq inch</t>
  </si>
  <si>
    <t>(P.H.S (M) I No 16 P/ 11)</t>
  </si>
  <si>
    <t>6" dia</t>
  </si>
  <si>
    <t>Each.</t>
  </si>
  <si>
    <t>Reflex valve heavy pattern test pressure 21 kg /sq, cm or 300 lbs /sq inch</t>
  </si>
  <si>
    <t>(P.H.S (M) I No C P/ 11)</t>
  </si>
  <si>
    <t>Foot valve heavy pattern with cone type gate imported</t>
  </si>
  <si>
    <t>(P.H.S (M) I No 4 P/ 11)</t>
  </si>
  <si>
    <t>Butt Fusion joint (P.H.S.(M).I-H, P-20)</t>
  </si>
  <si>
    <t>Joints</t>
  </si>
  <si>
    <t>P/Joint</t>
  </si>
  <si>
    <t>8" dia</t>
  </si>
  <si>
    <t>Flange adaptor (Non Sch: Item)</t>
  </si>
  <si>
    <t>Jointing C.I/M.S flanged and specials pipes and inside a trenches i/c</t>
  </si>
  <si>
    <t>supplying of the rubber packing of the required thickness nuts bolts</t>
  </si>
  <si>
    <t>and washers etc and other tools required for jointing and testing the</t>
  </si>
  <si>
    <t>joints in the specified pressure etc complete (P.H.S I No 1 P/ 40)</t>
  </si>
  <si>
    <t>P/Joint.</t>
  </si>
  <si>
    <t>Contractor profit Item No:</t>
  </si>
  <si>
    <t xml:space="preserve">Each set </t>
  </si>
  <si>
    <t>sets</t>
  </si>
  <si>
    <t>PART-                  INTER CONNECTION</t>
  </si>
  <si>
    <t xml:space="preserve">OFFICE OF THE </t>
  </si>
  <si>
    <t xml:space="preserve">Estimated cost </t>
  </si>
  <si>
    <t xml:space="preserve">Revised Working Estimate for </t>
  </si>
  <si>
    <t xml:space="preserve">EXECUTIVE ENGINEER PHE DIVISION-I LARKANO </t>
  </si>
  <si>
    <t>PUBLIC HEALTH ENGINEERING CIRCLE LARKANO</t>
  </si>
  <si>
    <t xml:space="preserve">PUBLIC HEALTH ENGINEERING DIVISION-I LARKANO </t>
  </si>
  <si>
    <t xml:space="preserve">Cartage of Material </t>
  </si>
  <si>
    <t>BF</t>
  </si>
  <si>
    <t xml:space="preserve">Bajri from Shadi shaheed  lead </t>
  </si>
  <si>
    <t>Miles)</t>
  </si>
  <si>
    <t xml:space="preserve">Stone from Arrore lead miles </t>
  </si>
  <si>
    <t xml:space="preserve">Hill sand from Bolhari Lead </t>
  </si>
  <si>
    <t>Miles</t>
  </si>
  <si>
    <t xml:space="preserve">Cement from Zeel Pak  Factory Hyd lead </t>
  </si>
  <si>
    <t>Bags</t>
  </si>
  <si>
    <t>P-Bags</t>
  </si>
  <si>
    <t xml:space="preserve">Brick from nearest kiln lead </t>
  </si>
  <si>
    <t>P%O No:</t>
  </si>
  <si>
    <t xml:space="preserve">Steel from Sukkur lead </t>
  </si>
  <si>
    <t>P.cwt</t>
  </si>
  <si>
    <t>Add:10% above (+)</t>
  </si>
  <si>
    <t>G.total</t>
  </si>
  <si>
    <t>Assistant Engineer.</t>
  </si>
  <si>
    <t>Executive Engineer.</t>
  </si>
  <si>
    <t xml:space="preserve">Material Statement </t>
  </si>
  <si>
    <t xml:space="preserve">Item </t>
  </si>
  <si>
    <t>Qty:</t>
  </si>
  <si>
    <t xml:space="preserve">Bajri </t>
  </si>
  <si>
    <t>Stone</t>
  </si>
  <si>
    <t>Hill sand</t>
  </si>
  <si>
    <t xml:space="preserve">Cement </t>
  </si>
  <si>
    <t>Bricks</t>
  </si>
  <si>
    <t>Steel</t>
  </si>
  <si>
    <t>C.C Plain 1:4:8</t>
  </si>
  <si>
    <t xml:space="preserve">Pacca brick work (1:6) </t>
  </si>
  <si>
    <t xml:space="preserve">Type A Drain </t>
  </si>
  <si>
    <t xml:space="preserve">Type B Drain </t>
  </si>
  <si>
    <t xml:space="preserve">Type C Drain </t>
  </si>
  <si>
    <t>R.C.C work (1:2:4)</t>
  </si>
  <si>
    <t>Cement Plaster (1:4) 1/2"</t>
  </si>
  <si>
    <t>C.C plain 1:2:4 (CC slabs)</t>
  </si>
  <si>
    <t>C.C brick or stone ballst 1:1/2" to 2"guage ratio 1:4;8</t>
  </si>
  <si>
    <t>CC  plain Ratio:1:2:4</t>
  </si>
  <si>
    <t>S.No:</t>
  </si>
  <si>
    <t>C.C Plain 1:2:4</t>
  </si>
  <si>
    <t>RCC  slab (1:2:4)</t>
  </si>
  <si>
    <t>TOTAL</t>
  </si>
  <si>
    <t xml:space="preserve">                                                 </t>
  </si>
  <si>
    <t>C.I Grating at 50' c/c</t>
  </si>
  <si>
    <t>PART-I               MAIN RCC NALA   ( WIDE 2.50 FT:)</t>
  </si>
  <si>
    <t xml:space="preserve">PART- III       CC BLOCKS </t>
  </si>
  <si>
    <t xml:space="preserve">PART-II      C.C DRAINS </t>
  </si>
  <si>
    <t xml:space="preserve">FACE SHEET </t>
  </si>
  <si>
    <t>FUND HEAD: -</t>
  </si>
  <si>
    <t>[ ]</t>
  </si>
  <si>
    <t>MAJOR HEAD: -</t>
  </si>
  <si>
    <t>SERVICE HEAD: -</t>
  </si>
  <si>
    <t>Detailed Working estimate for</t>
  </si>
  <si>
    <t>DEPTT: HEAD: -</t>
  </si>
  <si>
    <t>ESTIMATED COST RS.</t>
  </si>
  <si>
    <t xml:space="preserve">GENERAL DESCRIPTION </t>
  </si>
  <si>
    <t>Hence the detailed working estimate is prepared and submitted for favour of necessary check further disposal please.</t>
  </si>
  <si>
    <t>`</t>
  </si>
  <si>
    <t>Rates</t>
  </si>
  <si>
    <t xml:space="preserve">The rates incorporated are based approved by Standing Rates Committee </t>
  </si>
  <si>
    <t>Specification</t>
  </si>
  <si>
    <t>The work will be carried out as per PWD/ PHE specification</t>
  </si>
  <si>
    <t>Time</t>
  </si>
  <si>
    <t xml:space="preserve">The work will be completed within a period of (      ) Months </t>
  </si>
  <si>
    <t xml:space="preserve">Provincial </t>
  </si>
  <si>
    <t>Community Development Programme 2016-17</t>
  </si>
  <si>
    <t xml:space="preserve">Bakrani road Larkano </t>
  </si>
  <si>
    <t>Construction of RCC Nala from Dari Muhalla Police Station to Atta Turk Chowk Bakrani road Larkano ( under Community Development Programme 2016-17)</t>
  </si>
  <si>
    <t>The detailed working Estimate is framed in the Office of the Executive Engineer Public Health Engg: Division-I Larkano for the probable expenditure that will be incurred on Construction of RCC Nala from Dari Muhalla Police Station to Atta Turk Chowk Bakrani road Larkano ( under Community Development Programme 2016-17)</t>
  </si>
  <si>
    <t>The Government of Sindh Release funds under Community Development Programme 2016-17) for Construction of RCC Nalla Construction of RCC Nala from Dari Muhalla Police Station to Atta Turk Chowk Bakrani road Larkano ( under Community Development Programme)</t>
  </si>
  <si>
    <t>20.0 Million</t>
  </si>
  <si>
    <t>OFFICE OF THE EXECUTIVE ENGINEER</t>
  </si>
  <si>
    <t>PUBLIC HEALTH ENGINEERING DIVISION-I LARKANO</t>
  </si>
  <si>
    <t>(2016-17)</t>
  </si>
  <si>
    <t>COMMUNITY DEVELOPMENT PROGRAMME (NA-204)</t>
  </si>
  <si>
    <t>20.00 (M)</t>
  </si>
  <si>
    <t>G E N E R A L       A B S T R A C T</t>
  </si>
  <si>
    <t xml:space="preserve">Part-I </t>
  </si>
  <si>
    <t xml:space="preserve">C.C Blocks </t>
  </si>
  <si>
    <t>RCC Nalla (2.50' wide)</t>
  </si>
  <si>
    <t xml:space="preserve">Part-II </t>
  </si>
  <si>
    <t>Part-III</t>
  </si>
  <si>
    <t>2,00,00,000/=</t>
  </si>
  <si>
    <t>CC Drains i/c  RCC Slabs</t>
  </si>
  <si>
    <t>(A)</t>
  </si>
  <si>
    <t>BILL OF QUANTITY</t>
  </si>
  <si>
    <t xml:space="preserve">Part-I       </t>
  </si>
  <si>
    <t>RCC NALLA (2.50' WIDE)</t>
  </si>
  <si>
    <t>General Abstract</t>
  </si>
  <si>
    <t xml:space="preserve">Sub- Works </t>
  </si>
  <si>
    <t xml:space="preserve">Schedule Amount </t>
  </si>
  <si>
    <t xml:space="preserve">N/S Amount </t>
  </si>
  <si>
    <t>G.total:</t>
  </si>
  <si>
    <t>Amount Total (a)</t>
  </si>
  <si>
    <t>---------------- % above /below on the rates CSR</t>
  </si>
  <si>
    <t xml:space="preserve">Amount to be added /deducted on the </t>
  </si>
  <si>
    <t>basis of premium quoted.       TOTAL(b)</t>
  </si>
  <si>
    <t>Total (A) = a+b in words &amp; figure:</t>
  </si>
  <si>
    <t>CONTRACTOR</t>
  </si>
  <si>
    <t xml:space="preserve">Part-I R,C.C Nalla </t>
  </si>
  <si>
    <t xml:space="preserve">Part-III  C.C Blocks </t>
  </si>
  <si>
    <t xml:space="preserve">Part-II  C.C drains 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</si>
</sst>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0.0"/>
    <numFmt numFmtId="165" formatCode="0.000"/>
    <numFmt numFmtId="166" formatCode="0.00;[Red]0.00"/>
  </numFmts>
  <fonts count="60">
    <font>
      <sz val="10"/>
      <name val="Arial"/>
    </font>
    <font>
      <b/>
      <sz val="10"/>
      <name val="Arial"/>
      <family val="2"/>
    </font>
    <font>
      <u/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4"/>
      <name val="Arial"/>
      <family val="2"/>
    </font>
    <font>
      <b/>
      <u/>
      <sz val="10"/>
      <name val="Arial"/>
      <family val="2"/>
    </font>
    <font>
      <sz val="11"/>
      <name val="Bookman Old Style"/>
      <family val="1"/>
    </font>
    <font>
      <b/>
      <sz val="10"/>
      <name val="Bookman Old Style"/>
      <family val="1"/>
    </font>
    <font>
      <sz val="10"/>
      <name val="Bookman Old Style"/>
      <family val="1"/>
    </font>
    <font>
      <b/>
      <u/>
      <sz val="12"/>
      <name val="Times New Roman"/>
      <family val="1"/>
    </font>
    <font>
      <u/>
      <sz val="12"/>
      <name val="Times New Roman"/>
      <family val="1"/>
    </font>
    <font>
      <b/>
      <u/>
      <sz val="11"/>
      <name val="Arial"/>
      <family val="2"/>
    </font>
    <font>
      <b/>
      <u/>
      <sz val="10"/>
      <name val="Times New Roman"/>
      <family val="1"/>
    </font>
    <font>
      <sz val="7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u/>
      <sz val="11"/>
      <name val="Arial"/>
      <family val="2"/>
    </font>
    <font>
      <sz val="11"/>
      <name val="Arial"/>
      <family val="2"/>
    </font>
    <font>
      <b/>
      <sz val="10"/>
      <name val="Times New Roman"/>
      <family val="1"/>
    </font>
    <font>
      <b/>
      <sz val="11"/>
      <name val="Times New Roman"/>
      <family val="1"/>
    </font>
    <font>
      <b/>
      <u/>
      <sz val="11"/>
      <name val="Tahoma"/>
      <family val="2"/>
    </font>
    <font>
      <b/>
      <u/>
      <sz val="10"/>
      <name val="Tahoma"/>
      <family val="2"/>
    </font>
    <font>
      <b/>
      <sz val="11"/>
      <name val="Arial"/>
      <family val="2"/>
    </font>
    <font>
      <u/>
      <sz val="11"/>
      <name val="Times New Roman"/>
      <family val="1"/>
    </font>
    <font>
      <b/>
      <u/>
      <sz val="12"/>
      <name val="Arial"/>
      <family val="2"/>
    </font>
    <font>
      <b/>
      <sz val="11"/>
      <name val="Century Gothic"/>
      <family val="2"/>
    </font>
    <font>
      <sz val="11"/>
      <name val="Century Gothic"/>
      <family val="2"/>
    </font>
    <font>
      <b/>
      <u/>
      <sz val="12"/>
      <name val="Century Gothic"/>
      <family val="2"/>
    </font>
    <font>
      <b/>
      <u/>
      <sz val="11"/>
      <name val="Century Gothic"/>
      <family val="2"/>
    </font>
    <font>
      <b/>
      <u/>
      <sz val="14"/>
      <name val="Tahoma"/>
      <family val="2"/>
    </font>
    <font>
      <b/>
      <u/>
      <sz val="14"/>
      <name val="Times New Roman"/>
      <family val="1"/>
    </font>
    <font>
      <b/>
      <sz val="10"/>
      <name val="Tahoma"/>
      <family val="2"/>
    </font>
    <font>
      <u/>
      <sz val="10"/>
      <name val="Times New Roman"/>
      <family val="1"/>
    </font>
    <font>
      <sz val="10"/>
      <name val="Arial"/>
      <family val="2"/>
    </font>
    <font>
      <b/>
      <u/>
      <sz val="12"/>
      <name val="Bookman Old Style"/>
      <family val="1"/>
    </font>
    <font>
      <b/>
      <sz val="12"/>
      <name val="Arial"/>
      <family val="2"/>
    </font>
    <font>
      <sz val="12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u/>
      <sz val="14"/>
      <name val="Times New Roman"/>
      <family val="1"/>
    </font>
    <font>
      <b/>
      <u/>
      <sz val="11"/>
      <name val="Times New Roman"/>
      <family val="1"/>
    </font>
    <font>
      <b/>
      <i/>
      <sz val="14"/>
      <name val="Tahoma"/>
      <family val="2"/>
    </font>
    <font>
      <b/>
      <i/>
      <sz val="12"/>
      <name val="Tahoma"/>
      <family val="2"/>
    </font>
    <font>
      <sz val="12"/>
      <name val="Arial"/>
      <family val="2"/>
    </font>
    <font>
      <sz val="14"/>
      <name val="Arial"/>
      <family val="2"/>
    </font>
    <font>
      <b/>
      <u/>
      <sz val="12"/>
      <name val="Copperplate Gothic Bold"/>
      <family val="2"/>
    </font>
    <font>
      <b/>
      <u/>
      <sz val="16"/>
      <name val="Tahoma"/>
      <family val="2"/>
    </font>
    <font>
      <b/>
      <sz val="8"/>
      <name val="Times New Roman"/>
      <family val="1"/>
    </font>
    <font>
      <sz val="12"/>
      <name val="Century Gothic"/>
      <family val="2"/>
    </font>
    <font>
      <b/>
      <u/>
      <sz val="14"/>
      <name val="Century Gothic"/>
      <family val="2"/>
    </font>
    <font>
      <b/>
      <i/>
      <sz val="12"/>
      <name val="Century Gothic"/>
      <family val="2"/>
    </font>
    <font>
      <b/>
      <sz val="12"/>
      <name val="Century Gothic"/>
      <family val="2"/>
    </font>
    <font>
      <b/>
      <sz val="14"/>
      <name val="Century Gothic"/>
      <family val="2"/>
    </font>
    <font>
      <b/>
      <u/>
      <sz val="16"/>
      <name val="Century Gothic"/>
      <family val="2"/>
    </font>
    <font>
      <b/>
      <i/>
      <u/>
      <sz val="11"/>
      <name val="Century Gothic"/>
      <family val="2"/>
    </font>
    <font>
      <sz val="12"/>
      <name val="Palatino Linotype"/>
      <family val="1"/>
    </font>
    <font>
      <b/>
      <sz val="12"/>
      <name val="Palatino Linotype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43" fontId="36" fillId="0" borderId="0" applyFont="0" applyFill="0" applyBorder="0" applyAlignment="0" applyProtection="0"/>
  </cellStyleXfs>
  <cellXfs count="1107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4" fillId="0" borderId="0" xfId="0" applyFont="1"/>
    <xf numFmtId="0" fontId="5" fillId="0" borderId="0" xfId="0" applyFont="1"/>
    <xf numFmtId="1" fontId="1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left"/>
    </xf>
    <xf numFmtId="0" fontId="6" fillId="0" borderId="0" xfId="0" applyFont="1"/>
    <xf numFmtId="2" fontId="1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Border="1"/>
    <xf numFmtId="0" fontId="0" fillId="0" borderId="0" xfId="0" applyAlignment="1"/>
    <xf numFmtId="0" fontId="12" fillId="0" borderId="0" xfId="0" applyFont="1"/>
    <xf numFmtId="0" fontId="5" fillId="0" borderId="0" xfId="0" applyFont="1" applyAlignment="1"/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top"/>
    </xf>
    <xf numFmtId="2" fontId="10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2" fontId="4" fillId="0" borderId="0" xfId="0" applyNumberFormat="1" applyFont="1"/>
    <xf numFmtId="2" fontId="4" fillId="0" borderId="0" xfId="0" applyNumberFormat="1" applyFont="1" applyAlignment="1">
      <alignment horizontal="left"/>
    </xf>
    <xf numFmtId="1" fontId="4" fillId="0" borderId="0" xfId="0" applyNumberFormat="1" applyFont="1" applyAlignment="1">
      <alignment horizontal="left"/>
    </xf>
    <xf numFmtId="2" fontId="0" fillId="0" borderId="0" xfId="0" applyNumberFormat="1" applyAlignment="1">
      <alignment horizontal="right"/>
    </xf>
    <xf numFmtId="1" fontId="4" fillId="0" borderId="0" xfId="0" applyNumberFormat="1" applyFont="1"/>
    <xf numFmtId="1" fontId="0" fillId="0" borderId="0" xfId="0" applyNumberFormat="1" applyAlignment="1">
      <alignment horizontal="center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2" fontId="4" fillId="0" borderId="0" xfId="0" applyNumberFormat="1" applyFont="1" applyAlignment="1"/>
    <xf numFmtId="2" fontId="4" fillId="0" borderId="0" xfId="0" applyNumberFormat="1" applyFont="1" applyAlignment="1">
      <alignment horizontal="right"/>
    </xf>
    <xf numFmtId="0" fontId="5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1" fontId="4" fillId="0" borderId="0" xfId="0" applyNumberFormat="1" applyFont="1" applyAlignment="1">
      <alignment horizontal="right"/>
    </xf>
    <xf numFmtId="2" fontId="5" fillId="0" borderId="0" xfId="0" applyNumberFormat="1" applyFont="1"/>
    <xf numFmtId="0" fontId="4" fillId="0" borderId="0" xfId="0" applyFont="1" applyAlignment="1"/>
    <xf numFmtId="0" fontId="0" fillId="0" borderId="0" xfId="0" applyAlignment="1">
      <alignment vertical="center"/>
    </xf>
    <xf numFmtId="1" fontId="0" fillId="0" borderId="0" xfId="0" applyNumberFormat="1" applyAlignment="1">
      <alignment horizontal="left" vertical="center"/>
    </xf>
    <xf numFmtId="0" fontId="1" fillId="0" borderId="0" xfId="0" applyFont="1" applyAlignment="1">
      <alignment vertical="center"/>
    </xf>
    <xf numFmtId="1" fontId="1" fillId="0" borderId="0" xfId="0" applyNumberFormat="1" applyFont="1" applyAlignment="1">
      <alignment horizontal="left" vertical="center"/>
    </xf>
    <xf numFmtId="1" fontId="1" fillId="0" borderId="0" xfId="0" applyNumberFormat="1" applyFont="1" applyAlignment="1">
      <alignment horizontal="center"/>
    </xf>
    <xf numFmtId="0" fontId="13" fillId="0" borderId="0" xfId="0" applyFont="1" applyAlignment="1">
      <alignment horizontal="left" vertical="top"/>
    </xf>
    <xf numFmtId="0" fontId="7" fillId="0" borderId="0" xfId="0" applyFont="1"/>
    <xf numFmtId="2" fontId="2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quotePrefix="1" applyFont="1"/>
    <xf numFmtId="0" fontId="14" fillId="0" borderId="0" xfId="0" applyFont="1" applyAlignment="1"/>
    <xf numFmtId="2" fontId="1" fillId="0" borderId="0" xfId="0" applyNumberFormat="1" applyFont="1"/>
    <xf numFmtId="2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0" fontId="15" fillId="0" borderId="0" xfId="0" applyFont="1" applyAlignment="1"/>
    <xf numFmtId="0" fontId="14" fillId="0" borderId="0" xfId="0" applyFont="1"/>
    <xf numFmtId="0" fontId="16" fillId="0" borderId="0" xfId="0" applyFont="1" applyAlignment="1"/>
    <xf numFmtId="165" fontId="0" fillId="0" borderId="0" xfId="0" applyNumberFormat="1" applyAlignment="1">
      <alignment horizontal="right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" fontId="5" fillId="0" borderId="0" xfId="0" applyNumberFormat="1" applyFont="1"/>
    <xf numFmtId="2" fontId="17" fillId="0" borderId="0" xfId="0" applyNumberFormat="1" applyFont="1"/>
    <xf numFmtId="0" fontId="17" fillId="0" borderId="0" xfId="0" applyFont="1" applyAlignment="1">
      <alignment horizontal="left"/>
    </xf>
    <xf numFmtId="2" fontId="17" fillId="0" borderId="0" xfId="0" applyNumberFormat="1" applyFont="1" applyAlignment="1"/>
    <xf numFmtId="0" fontId="17" fillId="0" borderId="0" xfId="0" applyFont="1" applyAlignment="1"/>
    <xf numFmtId="0" fontId="5" fillId="0" borderId="0" xfId="0" applyFont="1" applyAlignment="1">
      <alignment horizontal="right"/>
    </xf>
    <xf numFmtId="2" fontId="5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left"/>
    </xf>
    <xf numFmtId="0" fontId="17" fillId="0" borderId="0" xfId="0" applyFont="1"/>
    <xf numFmtId="2" fontId="5" fillId="0" borderId="0" xfId="0" applyNumberFormat="1" applyFont="1" applyAlignment="1">
      <alignment horizontal="right"/>
    </xf>
    <xf numFmtId="0" fontId="18" fillId="0" borderId="0" xfId="0" applyFont="1"/>
    <xf numFmtId="2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/>
    <xf numFmtId="0" fontId="5" fillId="0" borderId="0" xfId="0" applyFont="1" applyAlignment="1">
      <alignment vertical="center"/>
    </xf>
    <xf numFmtId="2" fontId="17" fillId="0" borderId="0" xfId="0" applyNumberFormat="1" applyFont="1" applyAlignment="1">
      <alignment horizontal="right"/>
    </xf>
    <xf numFmtId="1" fontId="17" fillId="0" borderId="0" xfId="0" applyNumberFormat="1" applyFont="1" applyAlignment="1">
      <alignment horizontal="left"/>
    </xf>
    <xf numFmtId="2" fontId="16" fillId="0" borderId="0" xfId="0" applyNumberFormat="1" applyFont="1" applyAlignment="1"/>
    <xf numFmtId="2" fontId="4" fillId="0" borderId="0" xfId="0" applyNumberFormat="1" applyFont="1" applyAlignment="1">
      <alignment horizontal="center"/>
    </xf>
    <xf numFmtId="2" fontId="1" fillId="0" borderId="0" xfId="0" applyNumberFormat="1" applyFont="1" applyAlignment="1"/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right" vertical="top"/>
    </xf>
    <xf numFmtId="2" fontId="5" fillId="0" borderId="0" xfId="0" applyNumberFormat="1" applyFont="1" applyAlignment="1">
      <alignment horizontal="left" vertical="top"/>
    </xf>
    <xf numFmtId="0" fontId="17" fillId="0" borderId="0" xfId="0" applyFont="1" applyAlignment="1">
      <alignment horizontal="right" vertical="top"/>
    </xf>
    <xf numFmtId="1" fontId="17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1" fontId="5" fillId="0" borderId="0" xfId="0" applyNumberFormat="1" applyFont="1" applyAlignment="1">
      <alignment horizontal="left" vertical="top"/>
    </xf>
    <xf numFmtId="1" fontId="5" fillId="0" borderId="0" xfId="0" applyNumberFormat="1" applyFont="1" applyAlignment="1">
      <alignment horizontal="left" vertical="top" wrapText="1"/>
    </xf>
    <xf numFmtId="0" fontId="5" fillId="0" borderId="0" xfId="0" applyNumberFormat="1" applyFont="1" applyAlignment="1">
      <alignment horizontal="left" vertical="top"/>
    </xf>
    <xf numFmtId="164" fontId="5" fillId="0" borderId="0" xfId="0" applyNumberFormat="1" applyFont="1" applyAlignment="1">
      <alignment horizontal="left" vertical="top"/>
    </xf>
    <xf numFmtId="9" fontId="5" fillId="0" borderId="0" xfId="0" applyNumberFormat="1" applyFont="1" applyAlignment="1">
      <alignment horizontal="left" vertical="top"/>
    </xf>
    <xf numFmtId="1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vertical="top"/>
    </xf>
    <xf numFmtId="0" fontId="4" fillId="0" borderId="0" xfId="0" applyFont="1" applyAlignment="1">
      <alignment vertical="center"/>
    </xf>
    <xf numFmtId="2" fontId="1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4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2" fontId="0" fillId="0" borderId="2" xfId="0" applyNumberFormat="1" applyBorder="1" applyAlignment="1">
      <alignment horizontal="right"/>
    </xf>
    <xf numFmtId="0" fontId="19" fillId="0" borderId="0" xfId="0" applyFont="1"/>
    <xf numFmtId="164" fontId="0" fillId="0" borderId="0" xfId="0" applyNumberFormat="1" applyAlignment="1">
      <alignment horizontal="center"/>
    </xf>
    <xf numFmtId="0" fontId="20" fillId="0" borderId="0" xfId="0" applyFont="1"/>
    <xf numFmtId="0" fontId="4" fillId="0" borderId="0" xfId="0" quotePrefix="1" applyFont="1" applyAlignment="1">
      <alignment horizontal="right"/>
    </xf>
    <xf numFmtId="2" fontId="4" fillId="0" borderId="0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0" fillId="0" borderId="0" xfId="0" applyNumberFormat="1" applyAlignment="1">
      <alignment horizontal="left"/>
    </xf>
    <xf numFmtId="0" fontId="3" fillId="0" borderId="0" xfId="0" applyFont="1" applyAlignment="1"/>
    <xf numFmtId="0" fontId="4" fillId="0" borderId="0" xfId="0" quotePrefix="1" applyFont="1" applyAlignment="1">
      <alignment horizontal="center"/>
    </xf>
    <xf numFmtId="165" fontId="16" fillId="0" borderId="0" xfId="0" applyNumberFormat="1" applyFont="1" applyAlignment="1"/>
    <xf numFmtId="164" fontId="0" fillId="0" borderId="0" xfId="0" applyNumberFormat="1" applyAlignment="1">
      <alignment horizontal="right"/>
    </xf>
    <xf numFmtId="0" fontId="0" fillId="0" borderId="2" xfId="0" applyBorder="1" applyAlignment="1">
      <alignment horizontal="right"/>
    </xf>
    <xf numFmtId="1" fontId="0" fillId="0" borderId="2" xfId="0" applyNumberFormat="1" applyBorder="1" applyAlignment="1">
      <alignment horizontal="left"/>
    </xf>
    <xf numFmtId="0" fontId="5" fillId="0" borderId="2" xfId="0" applyFont="1" applyBorder="1"/>
    <xf numFmtId="2" fontId="5" fillId="0" borderId="0" xfId="0" applyNumberFormat="1" applyFont="1" applyBorder="1"/>
    <xf numFmtId="0" fontId="0" fillId="0" borderId="0" xfId="0" applyAlignment="1">
      <alignment horizontal="center"/>
    </xf>
    <xf numFmtId="1" fontId="5" fillId="0" borderId="0" xfId="0" applyNumberFormat="1" applyFont="1" applyBorder="1" applyAlignment="1">
      <alignment horizontal="left"/>
    </xf>
    <xf numFmtId="2" fontId="5" fillId="0" borderId="0" xfId="0" quotePrefix="1" applyNumberFormat="1" applyFont="1" applyAlignment="1">
      <alignment horizontal="right"/>
    </xf>
    <xf numFmtId="2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right"/>
    </xf>
    <xf numFmtId="0" fontId="5" fillId="0" borderId="0" xfId="0" applyFont="1" applyAlignment="1">
      <alignment horizontal="center" vertical="top"/>
    </xf>
    <xf numFmtId="164" fontId="4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 vertical="top"/>
    </xf>
    <xf numFmtId="0" fontId="5" fillId="0" borderId="2" xfId="0" applyFont="1" applyBorder="1" applyAlignment="1">
      <alignment horizontal="right" vertical="top"/>
    </xf>
    <xf numFmtId="1" fontId="5" fillId="0" borderId="2" xfId="0" applyNumberFormat="1" applyFont="1" applyBorder="1" applyAlignment="1">
      <alignment horizontal="left" vertical="top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1" fillId="0" borderId="0" xfId="0" applyNumberFormat="1" applyFon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right"/>
    </xf>
    <xf numFmtId="2" fontId="0" fillId="0" borderId="0" xfId="0" applyNumberFormat="1" applyBorder="1" applyAlignment="1">
      <alignment horizontal="right"/>
    </xf>
    <xf numFmtId="16" fontId="0" fillId="0" borderId="0" xfId="0" quotePrefix="1" applyNumberFormat="1" applyAlignment="1">
      <alignment horizontal="center"/>
    </xf>
    <xf numFmtId="2" fontId="4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quotePrefix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" fontId="2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0" fontId="21" fillId="0" borderId="0" xfId="0" applyFont="1"/>
    <xf numFmtId="0" fontId="3" fillId="0" borderId="0" xfId="0" applyFont="1" applyAlignment="1">
      <alignment horizontal="left" vertical="justify"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/>
    <xf numFmtId="0" fontId="20" fillId="0" borderId="0" xfId="0" applyFont="1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2" fontId="0" fillId="0" borderId="0" xfId="0" applyNumberFormat="1" applyFill="1" applyAlignment="1">
      <alignment horizontal="right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0" fillId="0" borderId="0" xfId="0" applyFill="1" applyAlignment="1">
      <alignment horizontal="right"/>
    </xf>
    <xf numFmtId="0" fontId="0" fillId="0" borderId="0" xfId="0" applyBorder="1" applyAlignment="1">
      <alignment horizontal="left"/>
    </xf>
    <xf numFmtId="164" fontId="1" fillId="0" borderId="0" xfId="0" applyNumberFormat="1" applyFont="1" applyAlignment="1">
      <alignment horizontal="right"/>
    </xf>
    <xf numFmtId="2" fontId="12" fillId="0" borderId="0" xfId="0" applyNumberFormat="1" applyFont="1" applyAlignment="1"/>
    <xf numFmtId="0" fontId="5" fillId="0" borderId="0" xfId="0" applyFont="1" applyAlignment="1">
      <alignment horizontal="center" vertical="center"/>
    </xf>
    <xf numFmtId="0" fontId="5" fillId="0" borderId="0" xfId="0" quotePrefix="1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center"/>
    </xf>
    <xf numFmtId="2" fontId="0" fillId="0" borderId="2" xfId="0" applyNumberFormat="1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4" fillId="0" borderId="0" xfId="0" applyNumberFormat="1" applyFont="1" applyAlignment="1">
      <alignment horizontal="center"/>
    </xf>
    <xf numFmtId="2" fontId="17" fillId="0" borderId="0" xfId="0" applyNumberFormat="1" applyFont="1" applyBorder="1"/>
    <xf numFmtId="164" fontId="4" fillId="0" borderId="0" xfId="0" applyNumberFormat="1" applyFont="1"/>
    <xf numFmtId="164" fontId="0" fillId="0" borderId="0" xfId="0" applyNumberFormat="1"/>
    <xf numFmtId="1" fontId="5" fillId="0" borderId="0" xfId="0" applyNumberFormat="1" applyFont="1" applyAlignment="1">
      <alignment horizontal="right" vertical="top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right" vertical="center"/>
    </xf>
    <xf numFmtId="1" fontId="5" fillId="0" borderId="0" xfId="0" applyNumberFormat="1" applyFont="1" applyAlignment="1">
      <alignment vertical="top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0" fontId="4" fillId="0" borderId="0" xfId="0" applyFont="1" applyAlignment="1"/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2" fontId="1" fillId="0" borderId="0" xfId="0" applyNumberFormat="1" applyFont="1" applyBorder="1" applyAlignment="1">
      <alignment horizontal="right"/>
    </xf>
    <xf numFmtId="2" fontId="5" fillId="0" borderId="0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2" fontId="3" fillId="0" borderId="0" xfId="0" applyNumberFormat="1" applyFont="1" applyAlignment="1">
      <alignment horizontal="center"/>
    </xf>
    <xf numFmtId="1" fontId="1" fillId="0" borderId="2" xfId="0" applyNumberFormat="1" applyFont="1" applyBorder="1" applyAlignment="1">
      <alignment horizontal="left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 vertical="top"/>
    </xf>
    <xf numFmtId="0" fontId="16" fillId="0" borderId="0" xfId="0" applyFont="1"/>
    <xf numFmtId="0" fontId="16" fillId="0" borderId="0" xfId="0" applyFont="1" applyAlignment="1">
      <alignment horizontal="left"/>
    </xf>
    <xf numFmtId="1" fontId="16" fillId="0" borderId="0" xfId="0" applyNumberFormat="1" applyFont="1" applyAlignment="1">
      <alignment horizontal="left"/>
    </xf>
    <xf numFmtId="2" fontId="17" fillId="0" borderId="0" xfId="0" applyNumberFormat="1" applyFont="1" applyAlignment="1">
      <alignment vertical="top"/>
    </xf>
    <xf numFmtId="2" fontId="4" fillId="0" borderId="0" xfId="0" applyNumberFormat="1" applyFont="1" applyAlignment="1">
      <alignment vertical="top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right" vertical="center"/>
    </xf>
    <xf numFmtId="1" fontId="17" fillId="0" borderId="1" xfId="0" applyNumberFormat="1" applyFont="1" applyBorder="1" applyAlignment="1">
      <alignment horizontal="left" vertical="center"/>
    </xf>
    <xf numFmtId="1" fontId="5" fillId="0" borderId="2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5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/>
    </xf>
    <xf numFmtId="10" fontId="5" fillId="0" borderId="0" xfId="0" applyNumberFormat="1" applyFont="1" applyAlignment="1">
      <alignment horizontal="left" vertical="top"/>
    </xf>
    <xf numFmtId="0" fontId="9" fillId="0" borderId="2" xfId="0" applyFont="1" applyBorder="1" applyAlignment="1">
      <alignment horizontal="right"/>
    </xf>
    <xf numFmtId="0" fontId="4" fillId="0" borderId="2" xfId="0" applyFont="1" applyBorder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left" vertical="center" wrapText="1"/>
    </xf>
    <xf numFmtId="2" fontId="5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" fontId="5" fillId="0" borderId="0" xfId="0" applyNumberFormat="1" applyFont="1" applyBorder="1" applyAlignment="1">
      <alignment horizontal="center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left" vertical="center" wrapText="1"/>
    </xf>
    <xf numFmtId="1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2" fontId="5" fillId="0" borderId="0" xfId="0" quotePrefix="1" applyNumberFormat="1" applyFont="1"/>
    <xf numFmtId="164" fontId="5" fillId="0" borderId="2" xfId="0" applyNumberFormat="1" applyFont="1" applyBorder="1" applyAlignment="1">
      <alignment horizontal="center"/>
    </xf>
    <xf numFmtId="2" fontId="5" fillId="2" borderId="0" xfId="0" applyNumberFormat="1" applyFont="1" applyFill="1" applyAlignment="1">
      <alignment horizontal="center"/>
    </xf>
    <xf numFmtId="165" fontId="5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2" fontId="5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left"/>
    </xf>
    <xf numFmtId="2" fontId="17" fillId="0" borderId="0" xfId="0" quotePrefix="1" applyNumberFormat="1" applyFont="1"/>
    <xf numFmtId="2" fontId="17" fillId="0" borderId="0" xfId="0" applyNumberFormat="1" applyFont="1" applyAlignment="1">
      <alignment horizontal="left"/>
    </xf>
    <xf numFmtId="164" fontId="5" fillId="0" borderId="4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164" fontId="17" fillId="0" borderId="0" xfId="0" applyNumberFormat="1" applyFont="1"/>
    <xf numFmtId="0" fontId="4" fillId="0" borderId="0" xfId="0" applyFont="1" applyFill="1"/>
    <xf numFmtId="0" fontId="1" fillId="0" borderId="0" xfId="0" applyFont="1" applyFill="1"/>
    <xf numFmtId="9" fontId="0" fillId="0" borderId="0" xfId="0" applyNumberFormat="1"/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2" fontId="5" fillId="0" borderId="0" xfId="0" applyNumberFormat="1" applyFont="1" applyAlignment="1">
      <alignment horizontal="left"/>
    </xf>
    <xf numFmtId="0" fontId="5" fillId="0" borderId="2" xfId="0" applyFont="1" applyBorder="1" applyAlignment="1">
      <alignment horizontal="center"/>
    </xf>
    <xf numFmtId="2" fontId="5" fillId="0" borderId="0" xfId="0" applyNumberFormat="1" applyFont="1" applyFill="1" applyAlignment="1">
      <alignment horizontal="center"/>
    </xf>
    <xf numFmtId="165" fontId="5" fillId="0" borderId="0" xfId="0" applyNumberFormat="1" applyFont="1" applyFill="1" applyAlignment="1">
      <alignment horizontal="center"/>
    </xf>
    <xf numFmtId="0" fontId="17" fillId="0" borderId="2" xfId="0" applyFont="1" applyBorder="1" applyAlignment="1">
      <alignment horizontal="right"/>
    </xf>
    <xf numFmtId="0" fontId="17" fillId="0" borderId="2" xfId="0" applyFont="1" applyBorder="1"/>
    <xf numFmtId="0" fontId="17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1" fillId="0" borderId="0" xfId="0" applyFont="1" applyAlignment="1">
      <alignment horizontal="left" vertical="center" wrapText="1"/>
    </xf>
    <xf numFmtId="1" fontId="5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2" fontId="17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17" fillId="0" borderId="0" xfId="0" applyNumberFormat="1" applyFont="1" applyAlignment="1">
      <alignment horizontal="left"/>
    </xf>
    <xf numFmtId="0" fontId="17" fillId="0" borderId="0" xfId="0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center" vertical="top"/>
    </xf>
    <xf numFmtId="1" fontId="5" fillId="0" borderId="2" xfId="0" applyNumberFormat="1" applyFont="1" applyBorder="1" applyAlignment="1">
      <alignment horizontal="center"/>
    </xf>
    <xf numFmtId="1" fontId="5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vertical="center"/>
    </xf>
    <xf numFmtId="2" fontId="5" fillId="0" borderId="0" xfId="0" applyNumberFormat="1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2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164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2" fontId="1" fillId="0" borderId="0" xfId="0" applyNumberFormat="1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right" vertical="center"/>
    </xf>
    <xf numFmtId="1" fontId="25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top"/>
    </xf>
    <xf numFmtId="165" fontId="4" fillId="0" borderId="0" xfId="0" applyNumberFormat="1" applyFont="1"/>
    <xf numFmtId="0" fontId="3" fillId="0" borderId="0" xfId="0" applyFont="1" applyAlignment="1">
      <alignment horizontal="center"/>
    </xf>
    <xf numFmtId="164" fontId="4" fillId="0" borderId="0" xfId="0" applyNumberFormat="1" applyFont="1" applyAlignment="1"/>
    <xf numFmtId="2" fontId="4" fillId="0" borderId="2" xfId="0" applyNumberFormat="1" applyFont="1" applyBorder="1" applyAlignment="1">
      <alignment horizontal="center"/>
    </xf>
    <xf numFmtId="165" fontId="1" fillId="0" borderId="0" xfId="0" applyNumberFormat="1" applyFont="1" applyAlignment="1"/>
    <xf numFmtId="165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0" fontId="16" fillId="0" borderId="0" xfId="0" applyFont="1" applyAlignment="1">
      <alignment horizontal="center"/>
    </xf>
    <xf numFmtId="2" fontId="16" fillId="0" borderId="0" xfId="0" applyNumberFormat="1" applyFont="1" applyAlignment="1">
      <alignment horizontal="left"/>
    </xf>
    <xf numFmtId="1" fontId="26" fillId="0" borderId="0" xfId="0" applyNumberFormat="1" applyFont="1" applyAlignment="1">
      <alignment horizontal="left"/>
    </xf>
    <xf numFmtId="0" fontId="22" fillId="0" borderId="0" xfId="0" applyFont="1" applyAlignment="1">
      <alignment horizontal="center"/>
    </xf>
    <xf numFmtId="2" fontId="16" fillId="0" borderId="0" xfId="0" applyNumberFormat="1" applyFont="1" applyAlignment="1">
      <alignment horizontal="right"/>
    </xf>
    <xf numFmtId="0" fontId="20" fillId="0" borderId="0" xfId="0" applyFont="1" applyAlignment="1">
      <alignment horizontal="center"/>
    </xf>
    <xf numFmtId="1" fontId="20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right"/>
    </xf>
    <xf numFmtId="2" fontId="20" fillId="0" borderId="0" xfId="0" applyNumberFormat="1" applyFont="1" applyAlignment="1">
      <alignment horizontal="left"/>
    </xf>
    <xf numFmtId="2" fontId="1" fillId="0" borderId="0" xfId="0" quotePrefix="1" applyNumberFormat="1" applyFont="1" applyAlignment="1">
      <alignment horizontal="right" vertical="center"/>
    </xf>
    <xf numFmtId="0" fontId="1" fillId="0" borderId="0" xfId="0" applyFont="1" applyAlignment="1">
      <alignment horizontal="left" vertical="center"/>
    </xf>
    <xf numFmtId="1" fontId="1" fillId="0" borderId="0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left"/>
    </xf>
    <xf numFmtId="1" fontId="7" fillId="0" borderId="2" xfId="0" applyNumberFormat="1" applyFont="1" applyBorder="1" applyAlignment="1">
      <alignment horizontal="left"/>
    </xf>
    <xf numFmtId="1" fontId="17" fillId="0" borderId="0" xfId="0" applyNumberFormat="1" applyFont="1" applyAlignment="1">
      <alignment vertical="top"/>
    </xf>
    <xf numFmtId="0" fontId="0" fillId="0" borderId="2" xfId="0" applyBorder="1" applyAlignment="1">
      <alignment vertical="center"/>
    </xf>
    <xf numFmtId="1" fontId="0" fillId="0" borderId="2" xfId="0" applyNumberFormat="1" applyBorder="1" applyAlignment="1">
      <alignment horizontal="left" vertical="center"/>
    </xf>
    <xf numFmtId="0" fontId="29" fillId="0" borderId="0" xfId="0" applyFont="1"/>
    <xf numFmtId="0" fontId="28" fillId="0" borderId="1" xfId="0" applyFont="1" applyBorder="1"/>
    <xf numFmtId="0" fontId="28" fillId="0" borderId="1" xfId="0" applyFont="1" applyBorder="1" applyAlignment="1">
      <alignment horizontal="center"/>
    </xf>
    <xf numFmtId="0" fontId="28" fillId="0" borderId="5" xfId="0" applyFont="1" applyBorder="1" applyAlignment="1">
      <alignment horizontal="center"/>
    </xf>
    <xf numFmtId="0" fontId="28" fillId="0" borderId="5" xfId="0" applyFont="1" applyBorder="1"/>
    <xf numFmtId="0" fontId="28" fillId="0" borderId="6" xfId="0" applyFont="1" applyBorder="1" applyAlignment="1">
      <alignment horizontal="left"/>
    </xf>
    <xf numFmtId="0" fontId="28" fillId="0" borderId="0" xfId="0" applyFont="1"/>
    <xf numFmtId="0" fontId="31" fillId="0" borderId="0" xfId="0" applyFont="1"/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1" fontId="28" fillId="0" borderId="0" xfId="0" applyNumberFormat="1" applyFont="1" applyAlignment="1">
      <alignment horizontal="left"/>
    </xf>
    <xf numFmtId="0" fontId="29" fillId="0" borderId="0" xfId="0" applyFont="1" applyAlignment="1">
      <alignment horizontal="center"/>
    </xf>
    <xf numFmtId="2" fontId="29" fillId="0" borderId="0" xfId="0" applyNumberFormat="1" applyFont="1" applyAlignment="1">
      <alignment horizontal="center"/>
    </xf>
    <xf numFmtId="2" fontId="28" fillId="0" borderId="0" xfId="0" applyNumberFormat="1" applyFont="1" applyAlignment="1">
      <alignment horizontal="right"/>
    </xf>
    <xf numFmtId="2" fontId="28" fillId="0" borderId="0" xfId="0" applyNumberFormat="1" applyFont="1"/>
    <xf numFmtId="2" fontId="28" fillId="0" borderId="0" xfId="0" applyNumberFormat="1" applyFont="1" applyAlignment="1">
      <alignment horizontal="left"/>
    </xf>
    <xf numFmtId="1" fontId="28" fillId="0" borderId="0" xfId="0" applyNumberFormat="1" applyFont="1"/>
    <xf numFmtId="1" fontId="29" fillId="0" borderId="0" xfId="0" applyNumberFormat="1" applyFont="1"/>
    <xf numFmtId="2" fontId="31" fillId="0" borderId="0" xfId="0" applyNumberFormat="1" applyFont="1" applyAlignment="1">
      <alignment horizontal="left"/>
    </xf>
    <xf numFmtId="0" fontId="29" fillId="0" borderId="0" xfId="0" quotePrefix="1" applyFont="1"/>
    <xf numFmtId="164" fontId="28" fillId="0" borderId="0" xfId="0" applyNumberFormat="1" applyFont="1" applyAlignment="1">
      <alignment horizontal="right"/>
    </xf>
    <xf numFmtId="0" fontId="29" fillId="0" borderId="0" xfId="0" applyFont="1" applyAlignment="1">
      <alignment horizontal="left"/>
    </xf>
    <xf numFmtId="0" fontId="28" fillId="0" borderId="2" xfId="0" applyFont="1" applyBorder="1" applyAlignment="1">
      <alignment horizontal="right"/>
    </xf>
    <xf numFmtId="1" fontId="28" fillId="0" borderId="2" xfId="0" applyNumberFormat="1" applyFont="1" applyBorder="1" applyAlignment="1">
      <alignment horizontal="left"/>
    </xf>
    <xf numFmtId="0" fontId="29" fillId="0" borderId="0" xfId="0" applyFont="1" applyBorder="1"/>
    <xf numFmtId="0" fontId="28" fillId="0" borderId="0" xfId="0" applyFont="1" applyBorder="1" applyAlignment="1">
      <alignment horizontal="right"/>
    </xf>
    <xf numFmtId="1" fontId="28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7" fillId="0" borderId="0" xfId="0" applyFont="1" applyAlignment="1">
      <alignment horizontal="right"/>
    </xf>
    <xf numFmtId="164" fontId="0" fillId="0" borderId="0" xfId="0" applyNumberFormat="1" applyAlignment="1">
      <alignment horizontal="center"/>
    </xf>
    <xf numFmtId="0" fontId="28" fillId="0" borderId="0" xfId="0" applyFont="1" applyBorder="1"/>
    <xf numFmtId="0" fontId="31" fillId="0" borderId="0" xfId="0" applyFont="1" applyBorder="1"/>
    <xf numFmtId="0" fontId="28" fillId="0" borderId="0" xfId="0" applyFont="1" applyBorder="1" applyAlignment="1">
      <alignment horizontal="center"/>
    </xf>
    <xf numFmtId="0" fontId="28" fillId="0" borderId="0" xfId="0" applyFont="1" applyBorder="1" applyAlignment="1">
      <alignment horizontal="left"/>
    </xf>
    <xf numFmtId="2" fontId="28" fillId="0" borderId="0" xfId="0" applyNumberFormat="1" applyFont="1" applyAlignment="1"/>
    <xf numFmtId="1" fontId="29" fillId="0" borderId="0" xfId="0" applyNumberFormat="1" applyFont="1" applyAlignment="1">
      <alignment horizontal="left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/>
    <xf numFmtId="2" fontId="29" fillId="0" borderId="0" xfId="0" applyNumberFormat="1" applyFont="1"/>
    <xf numFmtId="2" fontId="28" fillId="0" borderId="0" xfId="0" applyNumberFormat="1" applyFont="1" applyAlignment="1">
      <alignment horizontal="center"/>
    </xf>
    <xf numFmtId="0" fontId="28" fillId="0" borderId="0" xfId="0" applyFont="1" applyBorder="1" applyAlignment="1">
      <alignment horizontal="center" vertical="center"/>
    </xf>
    <xf numFmtId="1" fontId="28" fillId="0" borderId="0" xfId="0" applyNumberFormat="1" applyFont="1" applyAlignment="1">
      <alignment horizontal="right"/>
    </xf>
    <xf numFmtId="0" fontId="28" fillId="0" borderId="0" xfId="0" quotePrefix="1" applyFont="1" applyAlignment="1">
      <alignment horizontal="right"/>
    </xf>
    <xf numFmtId="0" fontId="28" fillId="0" borderId="2" xfId="0" applyFont="1" applyBorder="1"/>
    <xf numFmtId="164" fontId="28" fillId="0" borderId="0" xfId="0" applyNumberFormat="1" applyFont="1"/>
    <xf numFmtId="164" fontId="1" fillId="0" borderId="0" xfId="0" applyNumberFormat="1" applyFont="1" applyAlignment="1">
      <alignment horizontal="center"/>
    </xf>
    <xf numFmtId="164" fontId="28" fillId="0" borderId="2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2" fontId="5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right"/>
    </xf>
    <xf numFmtId="0" fontId="24" fillId="0" borderId="0" xfId="0" applyFont="1" applyAlignment="1">
      <alignment horizontal="center"/>
    </xf>
    <xf numFmtId="2" fontId="1" fillId="0" borderId="0" xfId="0" applyNumberFormat="1" applyFont="1" applyAlignment="1">
      <alignment horizontal="right"/>
    </xf>
    <xf numFmtId="2" fontId="25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25" fillId="0" borderId="1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166" fontId="33" fillId="0" borderId="3" xfId="0" applyNumberFormat="1" applyFont="1" applyBorder="1" applyAlignment="1">
      <alignment vertical="center" wrapText="1"/>
    </xf>
    <xf numFmtId="166" fontId="11" fillId="0" borderId="3" xfId="0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5" fillId="0" borderId="0" xfId="0" applyFont="1"/>
    <xf numFmtId="1" fontId="20" fillId="0" borderId="0" xfId="0" applyNumberFormat="1" applyFont="1" applyAlignment="1">
      <alignment horizontal="left"/>
    </xf>
    <xf numFmtId="0" fontId="20" fillId="2" borderId="0" xfId="0" applyFont="1" applyFill="1" applyAlignment="1">
      <alignment horizontal="center"/>
    </xf>
    <xf numFmtId="2" fontId="20" fillId="0" borderId="0" xfId="0" applyNumberFormat="1" applyFont="1" applyAlignment="1">
      <alignment horizontal="center"/>
    </xf>
    <xf numFmtId="2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2" fontId="20" fillId="0" borderId="2" xfId="0" applyNumberFormat="1" applyFont="1" applyBorder="1" applyAlignment="1">
      <alignment horizontal="left"/>
    </xf>
    <xf numFmtId="0" fontId="20" fillId="0" borderId="0" xfId="0" applyFont="1" applyBorder="1"/>
    <xf numFmtId="0" fontId="20" fillId="0" borderId="0" xfId="0" applyFont="1" applyAlignment="1">
      <alignment horizontal="center" vertical="center"/>
    </xf>
    <xf numFmtId="0" fontId="20" fillId="0" borderId="0" xfId="0" applyFont="1" applyBorder="1" applyAlignment="1">
      <alignment vertical="center"/>
    </xf>
    <xf numFmtId="2" fontId="20" fillId="0" borderId="7" xfId="0" applyNumberFormat="1" applyFont="1" applyBorder="1" applyAlignment="1">
      <alignment horizontal="left" vertical="center"/>
    </xf>
    <xf numFmtId="2" fontId="25" fillId="0" borderId="0" xfId="0" applyNumberFormat="1" applyFont="1"/>
    <xf numFmtId="2" fontId="25" fillId="0" borderId="0" xfId="0" applyNumberFormat="1" applyFont="1" applyAlignment="1">
      <alignment horizontal="left"/>
    </xf>
    <xf numFmtId="2" fontId="25" fillId="0" borderId="0" xfId="0" applyNumberFormat="1" applyFont="1" applyAlignment="1"/>
    <xf numFmtId="0" fontId="25" fillId="0" borderId="0" xfId="0" applyFont="1" applyAlignment="1">
      <alignment horizontal="right"/>
    </xf>
    <xf numFmtId="2" fontId="25" fillId="0" borderId="0" xfId="0" applyNumberFormat="1" applyFont="1" applyAlignment="1">
      <alignment horizontal="center"/>
    </xf>
    <xf numFmtId="1" fontId="25" fillId="0" borderId="0" xfId="0" applyNumberFormat="1" applyFont="1" applyAlignment="1">
      <alignment horizontal="left"/>
    </xf>
    <xf numFmtId="0" fontId="20" fillId="0" borderId="0" xfId="0" applyFont="1" applyAlignment="1"/>
    <xf numFmtId="0" fontId="20" fillId="0" borderId="0" xfId="0" applyFont="1" applyAlignment="1">
      <alignment horizontal="right"/>
    </xf>
    <xf numFmtId="2" fontId="20" fillId="0" borderId="0" xfId="0" applyNumberFormat="1" applyFont="1"/>
    <xf numFmtId="164" fontId="20" fillId="0" borderId="0" xfId="0" applyNumberFormat="1" applyFont="1" applyAlignment="1">
      <alignment horizontal="center"/>
    </xf>
    <xf numFmtId="164" fontId="20" fillId="0" borderId="0" xfId="0" applyNumberFormat="1" applyFont="1" applyAlignment="1">
      <alignment horizontal="right"/>
    </xf>
    <xf numFmtId="0" fontId="20" fillId="0" borderId="0" xfId="0" applyFont="1" applyBorder="1" applyAlignment="1">
      <alignment horizontal="center" vertical="center"/>
    </xf>
    <xf numFmtId="2" fontId="20" fillId="0" borderId="7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5" fillId="0" borderId="0" xfId="0" applyFont="1" applyAlignment="1">
      <alignment horizontal="center" vertical="top"/>
    </xf>
    <xf numFmtId="0" fontId="20" fillId="0" borderId="0" xfId="0" applyFont="1" applyAlignment="1">
      <alignment vertical="top"/>
    </xf>
    <xf numFmtId="0" fontId="25" fillId="0" borderId="0" xfId="0" applyFont="1" applyAlignment="1">
      <alignment vertical="top"/>
    </xf>
    <xf numFmtId="0" fontId="20" fillId="0" borderId="0" xfId="0" applyFont="1" applyAlignment="1">
      <alignment horizontal="left" vertical="top" wrapText="1"/>
    </xf>
    <xf numFmtId="2" fontId="20" fillId="0" borderId="7" xfId="0" applyNumberFormat="1" applyFont="1" applyBorder="1" applyAlignment="1">
      <alignment horizontal="center" vertical="center"/>
    </xf>
    <xf numFmtId="164" fontId="20" fillId="0" borderId="0" xfId="0" applyNumberFormat="1" applyFont="1" applyAlignment="1">
      <alignment vertical="center"/>
    </xf>
    <xf numFmtId="2" fontId="20" fillId="0" borderId="0" xfId="0" applyNumberFormat="1" applyFont="1" applyAlignment="1">
      <alignment horizontal="center" vertical="center" wrapText="1"/>
    </xf>
    <xf numFmtId="164" fontId="20" fillId="0" borderId="0" xfId="0" applyNumberFormat="1" applyFont="1"/>
    <xf numFmtId="2" fontId="20" fillId="0" borderId="0" xfId="0" applyNumberFormat="1" applyFont="1" applyAlignment="1">
      <alignment horizontal="center" vertical="top" wrapText="1"/>
    </xf>
    <xf numFmtId="2" fontId="20" fillId="2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2" fontId="20" fillId="0" borderId="0" xfId="0" applyNumberFormat="1" applyFont="1" applyFill="1" applyAlignment="1">
      <alignment horizontal="center"/>
    </xf>
    <xf numFmtId="0" fontId="25" fillId="0" borderId="0" xfId="0" applyFont="1" applyAlignment="1">
      <alignment horizontal="center" vertical="center" wrapText="1"/>
    </xf>
    <xf numFmtId="2" fontId="20" fillId="0" borderId="0" xfId="0" applyNumberFormat="1" applyFont="1" applyAlignment="1">
      <alignment horizontal="center" vertical="center"/>
    </xf>
    <xf numFmtId="2" fontId="20" fillId="0" borderId="0" xfId="0" applyNumberFormat="1" applyFont="1" applyBorder="1" applyAlignment="1">
      <alignment horizontal="center" vertical="center"/>
    </xf>
    <xf numFmtId="2" fontId="20" fillId="0" borderId="0" xfId="0" applyNumberFormat="1" applyFont="1" applyBorder="1" applyAlignment="1">
      <alignment vertical="center"/>
    </xf>
    <xf numFmtId="2" fontId="25" fillId="0" borderId="0" xfId="0" applyNumberFormat="1" applyFont="1" applyFill="1" applyAlignment="1">
      <alignment horizontal="center"/>
    </xf>
    <xf numFmtId="0" fontId="25" fillId="0" borderId="0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1" fontId="25" fillId="0" borderId="0" xfId="0" applyNumberFormat="1" applyFont="1" applyAlignment="1">
      <alignment horizontal="right"/>
    </xf>
    <xf numFmtId="1" fontId="20" fillId="0" borderId="0" xfId="0" applyNumberFormat="1" applyFont="1" applyAlignment="1">
      <alignment horizontal="right"/>
    </xf>
    <xf numFmtId="0" fontId="25" fillId="0" borderId="0" xfId="0" applyFont="1" applyAlignment="1">
      <alignment horizontal="center" vertical="top" wrapText="1"/>
    </xf>
    <xf numFmtId="2" fontId="20" fillId="0" borderId="2" xfId="0" applyNumberFormat="1" applyFont="1" applyBorder="1" applyAlignment="1">
      <alignment horizontal="center"/>
    </xf>
    <xf numFmtId="0" fontId="20" fillId="0" borderId="2" xfId="0" applyFont="1" applyBorder="1" applyAlignment="1">
      <alignment horizontal="center"/>
    </xf>
    <xf numFmtId="0" fontId="25" fillId="0" borderId="0" xfId="0" applyFont="1" applyAlignment="1">
      <alignment horizontal="left" vertical="top"/>
    </xf>
    <xf numFmtId="0" fontId="20" fillId="0" borderId="0" xfId="0" applyFont="1" applyAlignment="1">
      <alignment horizontal="center" vertical="top" wrapText="1"/>
    </xf>
    <xf numFmtId="164" fontId="20" fillId="0" borderId="0" xfId="0" applyNumberFormat="1" applyFont="1" applyAlignment="1">
      <alignment horizontal="center" vertical="center"/>
    </xf>
    <xf numFmtId="165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left" vertical="top"/>
    </xf>
    <xf numFmtId="0" fontId="20" fillId="0" borderId="0" xfId="0" applyFont="1" applyAlignment="1">
      <alignment horizontal="left" vertical="center"/>
    </xf>
    <xf numFmtId="2" fontId="20" fillId="0" borderId="3" xfId="0" applyNumberFormat="1" applyFont="1" applyBorder="1"/>
    <xf numFmtId="0" fontId="25" fillId="0" borderId="0" xfId="0" quotePrefix="1" applyFont="1" applyAlignment="1">
      <alignment horizontal="right"/>
    </xf>
    <xf numFmtId="1" fontId="25" fillId="0" borderId="0" xfId="0" applyNumberFormat="1" applyFont="1" applyBorder="1" applyAlignment="1">
      <alignment horizontal="left"/>
    </xf>
    <xf numFmtId="0" fontId="20" fillId="0" borderId="0" xfId="0" applyFont="1" applyAlignment="1">
      <alignment horizontal="left" vertical="center" wrapText="1"/>
    </xf>
    <xf numFmtId="2" fontId="20" fillId="0" borderId="0" xfId="0" applyNumberFormat="1" applyFont="1" applyAlignment="1">
      <alignment vertical="center"/>
    </xf>
    <xf numFmtId="0" fontId="25" fillId="0" borderId="0" xfId="0" applyFont="1" applyAlignment="1">
      <alignment horizontal="right" vertical="top" wrapText="1"/>
    </xf>
    <xf numFmtId="2" fontId="25" fillId="0" borderId="0" xfId="0" applyNumberFormat="1" applyFont="1" applyAlignment="1">
      <alignment horizontal="right" vertical="top" wrapText="1"/>
    </xf>
    <xf numFmtId="1" fontId="20" fillId="0" borderId="0" xfId="0" applyNumberFormat="1" applyFont="1" applyAlignment="1">
      <alignment vertical="center"/>
    </xf>
    <xf numFmtId="0" fontId="25" fillId="0" borderId="0" xfId="0" quotePrefix="1" applyFont="1" applyAlignment="1">
      <alignment horizontal="right" vertical="center"/>
    </xf>
    <xf numFmtId="1" fontId="25" fillId="0" borderId="0" xfId="0" applyNumberFormat="1" applyFont="1" applyBorder="1" applyAlignment="1">
      <alignment horizontal="left" vertical="center"/>
    </xf>
    <xf numFmtId="0" fontId="20" fillId="2" borderId="0" xfId="0" applyFont="1" applyFill="1"/>
    <xf numFmtId="2" fontId="20" fillId="0" borderId="0" xfId="0" applyNumberFormat="1" applyFont="1" applyBorder="1"/>
    <xf numFmtId="2" fontId="20" fillId="0" borderId="3" xfId="0" applyNumberFormat="1" applyFont="1" applyBorder="1" applyAlignment="1">
      <alignment horizontal="center" vertical="center"/>
    </xf>
    <xf numFmtId="0" fontId="25" fillId="0" borderId="0" xfId="0" applyFont="1" applyBorder="1"/>
    <xf numFmtId="0" fontId="20" fillId="0" borderId="0" xfId="0" applyFont="1" applyAlignment="1">
      <alignment horizontal="right" vertical="center"/>
    </xf>
    <xf numFmtId="2" fontId="20" fillId="0" borderId="3" xfId="0" applyNumberFormat="1" applyFont="1" applyBorder="1" applyAlignment="1">
      <alignment horizontal="right" vertical="center"/>
    </xf>
    <xf numFmtId="165" fontId="25" fillId="0" borderId="0" xfId="0" applyNumberFormat="1" applyFont="1" applyAlignment="1">
      <alignment horizontal="left" vertical="center"/>
    </xf>
    <xf numFmtId="2" fontId="20" fillId="0" borderId="0" xfId="0" applyNumberFormat="1" applyFont="1" applyBorder="1" applyAlignment="1">
      <alignment horizontal="right" vertical="center"/>
    </xf>
    <xf numFmtId="0" fontId="20" fillId="0" borderId="0" xfId="0" applyFont="1" applyAlignment="1">
      <alignment horizontal="right" vertical="top"/>
    </xf>
    <xf numFmtId="164" fontId="20" fillId="0" borderId="0" xfId="0" applyNumberFormat="1" applyFont="1" applyAlignment="1">
      <alignment horizontal="center" vertical="top" wrapText="1"/>
    </xf>
    <xf numFmtId="1" fontId="20" fillId="0" borderId="2" xfId="0" applyNumberFormat="1" applyFont="1" applyBorder="1" applyAlignment="1">
      <alignment horizontal="center" vertical="center"/>
    </xf>
    <xf numFmtId="165" fontId="20" fillId="0" borderId="2" xfId="0" applyNumberFormat="1" applyFont="1" applyBorder="1" applyAlignment="1">
      <alignment horizontal="center" vertical="center"/>
    </xf>
    <xf numFmtId="2" fontId="20" fillId="0" borderId="0" xfId="0" quotePrefix="1" applyNumberFormat="1" applyFont="1" applyBorder="1" applyAlignment="1">
      <alignment horizontal="right" vertical="center"/>
    </xf>
    <xf numFmtId="2" fontId="13" fillId="0" borderId="0" xfId="0" applyNumberFormat="1" applyFont="1"/>
    <xf numFmtId="0" fontId="25" fillId="0" borderId="3" xfId="0" applyFont="1" applyBorder="1"/>
    <xf numFmtId="1" fontId="25" fillId="0" borderId="3" xfId="0" applyNumberFormat="1" applyFont="1" applyBorder="1" applyAlignment="1">
      <alignment horizontal="left"/>
    </xf>
    <xf numFmtId="2" fontId="20" fillId="0" borderId="0" xfId="0" applyNumberFormat="1" applyFont="1" applyFill="1"/>
    <xf numFmtId="0" fontId="5" fillId="0" borderId="0" xfId="0" applyFont="1" applyBorder="1" applyAlignment="1">
      <alignment horizontal="center" vertical="center"/>
    </xf>
    <xf numFmtId="1" fontId="17" fillId="0" borderId="0" xfId="0" applyNumberFormat="1" applyFont="1" applyBorder="1" applyAlignment="1">
      <alignment horizontal="left"/>
    </xf>
    <xf numFmtId="0" fontId="25" fillId="0" borderId="7" xfId="0" applyFont="1" applyBorder="1" applyAlignment="1">
      <alignment vertical="center"/>
    </xf>
    <xf numFmtId="164" fontId="20" fillId="0" borderId="7" xfId="0" applyNumberFormat="1" applyFont="1" applyBorder="1" applyAlignment="1">
      <alignment horizontal="center" vertical="center"/>
    </xf>
    <xf numFmtId="164" fontId="20" fillId="0" borderId="7" xfId="0" applyNumberFormat="1" applyFont="1" applyBorder="1" applyAlignment="1">
      <alignment vertical="center"/>
    </xf>
    <xf numFmtId="164" fontId="20" fillId="0" borderId="0" xfId="0" applyNumberFormat="1" applyFont="1" applyAlignment="1">
      <alignment horizontal="left"/>
    </xf>
    <xf numFmtId="164" fontId="20" fillId="0" borderId="7" xfId="0" applyNumberFormat="1" applyFont="1" applyBorder="1" applyAlignment="1">
      <alignment horizontal="left"/>
    </xf>
    <xf numFmtId="1" fontId="20" fillId="0" borderId="0" xfId="0" applyNumberFormat="1" applyFont="1" applyAlignment="1">
      <alignment horizontal="center" vertical="center"/>
    </xf>
    <xf numFmtId="1" fontId="20" fillId="2" borderId="0" xfId="0" applyNumberFormat="1" applyFont="1" applyFill="1" applyAlignment="1">
      <alignment horizontal="center" vertical="center"/>
    </xf>
    <xf numFmtId="0" fontId="24" fillId="0" borderId="0" xfId="0" applyFont="1" applyAlignment="1"/>
    <xf numFmtId="0" fontId="34" fillId="0" borderId="0" xfId="0" applyFont="1" applyAlignment="1">
      <alignment horizontal="right"/>
    </xf>
    <xf numFmtId="2" fontId="34" fillId="0" borderId="0" xfId="0" applyNumberFormat="1" applyFont="1" applyAlignment="1">
      <alignment horizontal="left"/>
    </xf>
    <xf numFmtId="0" fontId="0" fillId="0" borderId="0" xfId="0" quotePrefix="1"/>
    <xf numFmtId="2" fontId="3" fillId="0" borderId="0" xfId="0" applyNumberFormat="1" applyFont="1" applyAlignment="1">
      <alignment horizontal="right"/>
    </xf>
    <xf numFmtId="2" fontId="0" fillId="0" borderId="0" xfId="0" quotePrefix="1" applyNumberFormat="1" applyAlignment="1">
      <alignment horizontal="right"/>
    </xf>
    <xf numFmtId="1" fontId="7" fillId="0" borderId="0" xfId="0" applyNumberFormat="1" applyFont="1" applyAlignment="1">
      <alignment horizontal="left"/>
    </xf>
    <xf numFmtId="0" fontId="3" fillId="0" borderId="0" xfId="0" applyFont="1"/>
    <xf numFmtId="1" fontId="3" fillId="0" borderId="0" xfId="0" applyNumberFormat="1" applyFont="1" applyAlignment="1">
      <alignment horizontal="left"/>
    </xf>
    <xf numFmtId="0" fontId="21" fillId="0" borderId="0" xfId="0" applyFont="1" applyAlignment="1">
      <alignment horizontal="center"/>
    </xf>
    <xf numFmtId="2" fontId="3" fillId="0" borderId="0" xfId="0" applyNumberFormat="1" applyFont="1" applyAlignment="1">
      <alignment horizontal="left"/>
    </xf>
    <xf numFmtId="1" fontId="35" fillId="0" borderId="0" xfId="0" applyNumberFormat="1" applyFont="1" applyAlignment="1">
      <alignment horizontal="left"/>
    </xf>
    <xf numFmtId="43" fontId="0" fillId="0" borderId="0" xfId="2" applyFont="1"/>
    <xf numFmtId="1" fontId="0" fillId="0" borderId="0" xfId="0" applyNumberFormat="1" applyBorder="1" applyAlignment="1">
      <alignment horizontal="left"/>
    </xf>
    <xf numFmtId="2" fontId="5" fillId="0" borderId="0" xfId="0" quotePrefix="1" applyNumberFormat="1" applyFont="1" applyAlignment="1">
      <alignment vertical="center"/>
    </xf>
    <xf numFmtId="1" fontId="5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2" fontId="17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left"/>
    </xf>
    <xf numFmtId="1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1" fontId="5" fillId="0" borderId="0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/>
    </xf>
    <xf numFmtId="1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17" fillId="0" borderId="0" xfId="0" applyFont="1" applyAlignment="1">
      <alignment horizontal="center"/>
    </xf>
    <xf numFmtId="0" fontId="0" fillId="0" borderId="0" xfId="0" applyAlignment="1">
      <alignment horizontal="left"/>
    </xf>
    <xf numFmtId="0" fontId="22" fillId="0" borderId="0" xfId="0" applyFont="1"/>
    <xf numFmtId="165" fontId="5" fillId="0" borderId="0" xfId="0" applyNumberFormat="1" applyFont="1" applyBorder="1"/>
    <xf numFmtId="0" fontId="16" fillId="0" borderId="0" xfId="0" applyFont="1" applyAlignment="1">
      <alignment horizontal="center" vertical="center"/>
    </xf>
    <xf numFmtId="2" fontId="16" fillId="0" borderId="0" xfId="0" applyNumberFormat="1" applyFont="1" applyAlignment="1">
      <alignment horizontal="center"/>
    </xf>
    <xf numFmtId="2" fontId="5" fillId="0" borderId="2" xfId="0" applyNumberFormat="1" applyFont="1" applyBorder="1"/>
    <xf numFmtId="0" fontId="5" fillId="0" borderId="0" xfId="0" applyFont="1" applyBorder="1"/>
    <xf numFmtId="164" fontId="5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0" xfId="0" applyFont="1" applyFill="1"/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" fontId="5" fillId="0" borderId="0" xfId="0" applyNumberFormat="1" applyFont="1" applyFill="1"/>
    <xf numFmtId="0" fontId="5" fillId="0" borderId="0" xfId="0" applyFont="1" applyFill="1" applyAlignment="1">
      <alignment horizontal="left"/>
    </xf>
    <xf numFmtId="1" fontId="5" fillId="0" borderId="0" xfId="0" applyNumberFormat="1" applyFont="1" applyFill="1" applyAlignment="1">
      <alignment horizontal="left"/>
    </xf>
    <xf numFmtId="2" fontId="17" fillId="0" borderId="0" xfId="0" applyNumberFormat="1" applyFont="1" applyFill="1" applyAlignment="1"/>
    <xf numFmtId="0" fontId="17" fillId="0" borderId="0" xfId="0" applyFont="1" applyFill="1" applyAlignment="1">
      <alignment horizontal="center"/>
    </xf>
    <xf numFmtId="0" fontId="17" fillId="0" borderId="0" xfId="0" applyFont="1" applyFill="1" applyAlignment="1"/>
    <xf numFmtId="2" fontId="5" fillId="0" borderId="0" xfId="0" quotePrefix="1" applyNumberFormat="1" applyFont="1" applyFill="1" applyAlignment="1">
      <alignment horizontal="right"/>
    </xf>
    <xf numFmtId="164" fontId="17" fillId="0" borderId="0" xfId="0" applyNumberFormat="1" applyFont="1" applyAlignment="1"/>
    <xf numFmtId="164" fontId="5" fillId="0" borderId="0" xfId="0" applyNumberFormat="1" applyFont="1" applyBorder="1"/>
    <xf numFmtId="164" fontId="17" fillId="0" borderId="0" xfId="0" applyNumberFormat="1" applyFont="1" applyBorder="1"/>
    <xf numFmtId="2" fontId="5" fillId="0" borderId="0" xfId="0" applyNumberFormat="1" applyFont="1" applyAlignment="1">
      <alignment horizontal="left" vertical="justify" wrapText="1"/>
    </xf>
    <xf numFmtId="0" fontId="5" fillId="0" borderId="0" xfId="0" applyFont="1" applyAlignment="1">
      <alignment horizontal="left" vertical="justify" wrapText="1"/>
    </xf>
    <xf numFmtId="1" fontId="4" fillId="0" borderId="2" xfId="0" applyNumberFormat="1" applyFont="1" applyBorder="1" applyAlignment="1">
      <alignment horizontal="left"/>
    </xf>
    <xf numFmtId="9" fontId="4" fillId="0" borderId="0" xfId="0" applyNumberFormat="1" applyFont="1"/>
    <xf numFmtId="1" fontId="1" fillId="0" borderId="0" xfId="0" applyNumberFormat="1" applyFont="1"/>
    <xf numFmtId="0" fontId="9" fillId="0" borderId="0" xfId="0" applyFont="1" applyAlignment="1">
      <alignment horizontal="right" vertical="center"/>
    </xf>
    <xf numFmtId="0" fontId="38" fillId="0" borderId="1" xfId="0" applyFont="1" applyBorder="1" applyAlignment="1">
      <alignment horizontal="right"/>
    </xf>
    <xf numFmtId="0" fontId="1" fillId="0" borderId="0" xfId="0" applyFont="1" applyAlignment="1"/>
    <xf numFmtId="0" fontId="39" fillId="0" borderId="0" xfId="0" applyFont="1"/>
    <xf numFmtId="0" fontId="39" fillId="0" borderId="0" xfId="0" applyFont="1" applyAlignment="1">
      <alignment horizontal="center"/>
    </xf>
    <xf numFmtId="0" fontId="39" fillId="0" borderId="0" xfId="0" applyFont="1" applyAlignment="1">
      <alignment horizontal="left"/>
    </xf>
    <xf numFmtId="1" fontId="39" fillId="0" borderId="0" xfId="0" applyNumberFormat="1" applyFont="1" applyAlignment="1">
      <alignment horizontal="left"/>
    </xf>
    <xf numFmtId="0" fontId="40" fillId="0" borderId="0" xfId="0" applyFont="1"/>
    <xf numFmtId="1" fontId="40" fillId="0" borderId="0" xfId="0" applyNumberFormat="1" applyFont="1"/>
    <xf numFmtId="0" fontId="40" fillId="0" borderId="0" xfId="0" applyFont="1" applyAlignment="1">
      <alignment horizontal="center"/>
    </xf>
    <xf numFmtId="2" fontId="40" fillId="0" borderId="0" xfId="0" applyNumberFormat="1" applyFont="1" applyAlignment="1">
      <alignment horizontal="center"/>
    </xf>
    <xf numFmtId="0" fontId="40" fillId="0" borderId="0" xfId="0" applyFont="1" applyBorder="1"/>
    <xf numFmtId="2" fontId="40" fillId="0" borderId="0" xfId="0" applyNumberFormat="1" applyFont="1"/>
    <xf numFmtId="0" fontId="40" fillId="0" borderId="0" xfId="0" applyFont="1" applyAlignment="1">
      <alignment horizontal="left"/>
    </xf>
    <xf numFmtId="164" fontId="40" fillId="0" borderId="0" xfId="0" applyNumberFormat="1" applyFont="1" applyAlignment="1">
      <alignment horizontal="center"/>
    </xf>
    <xf numFmtId="2" fontId="41" fillId="0" borderId="0" xfId="0" applyNumberFormat="1" applyFont="1" applyAlignment="1"/>
    <xf numFmtId="0" fontId="41" fillId="0" borderId="0" xfId="0" applyFont="1" applyAlignment="1"/>
    <xf numFmtId="2" fontId="40" fillId="0" borderId="0" xfId="0" quotePrefix="1" applyNumberFormat="1" applyFont="1" applyAlignment="1">
      <alignment horizontal="right"/>
    </xf>
    <xf numFmtId="2" fontId="39" fillId="0" borderId="0" xfId="0" applyNumberFormat="1" applyFont="1" applyAlignment="1">
      <alignment horizontal="left"/>
    </xf>
    <xf numFmtId="1" fontId="40" fillId="0" borderId="0" xfId="0" applyNumberFormat="1" applyFont="1" applyAlignment="1">
      <alignment horizontal="left"/>
    </xf>
    <xf numFmtId="0" fontId="40" fillId="0" borderId="0" xfId="0" applyFont="1" applyAlignment="1">
      <alignment horizontal="right"/>
    </xf>
    <xf numFmtId="2" fontId="40" fillId="0" borderId="0" xfId="0" applyNumberFormat="1" applyFont="1" applyAlignment="1">
      <alignment horizontal="left"/>
    </xf>
    <xf numFmtId="2" fontId="4" fillId="0" borderId="2" xfId="0" applyNumberFormat="1" applyFont="1" applyBorder="1"/>
    <xf numFmtId="1" fontId="0" fillId="0" borderId="0" xfId="0" applyNumberFormat="1"/>
    <xf numFmtId="2" fontId="2" fillId="0" borderId="0" xfId="0" applyNumberFormat="1" applyFont="1"/>
    <xf numFmtId="2" fontId="4" fillId="0" borderId="0" xfId="0" quotePrefix="1" applyNumberFormat="1" applyFon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5" fillId="0" borderId="0" xfId="0" applyNumberFormat="1" applyFont="1" applyAlignment="1">
      <alignment horizontal="left"/>
    </xf>
    <xf numFmtId="0" fontId="1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2" xfId="0" applyFont="1" applyBorder="1" applyAlignment="1">
      <alignment horizontal="righ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2" fontId="5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2" fontId="5" fillId="0" borderId="2" xfId="0" applyNumberFormat="1" applyFont="1" applyBorder="1" applyAlignment="1">
      <alignment horizontal="center"/>
    </xf>
    <xf numFmtId="1" fontId="25" fillId="0" borderId="0" xfId="0" applyNumberFormat="1" applyFont="1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right"/>
    </xf>
    <xf numFmtId="0" fontId="25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  <xf numFmtId="0" fontId="17" fillId="0" borderId="0" xfId="0" applyFont="1" applyAlignment="1">
      <alignment horizontal="center"/>
    </xf>
    <xf numFmtId="2" fontId="4" fillId="0" borderId="0" xfId="0" applyNumberFormat="1" applyFont="1" applyAlignment="1">
      <alignment horizontal="right"/>
    </xf>
    <xf numFmtId="1" fontId="0" fillId="0" borderId="0" xfId="0" applyNumberFormat="1" applyAlignment="1">
      <alignment horizontal="center"/>
    </xf>
    <xf numFmtId="0" fontId="24" fillId="0" borderId="0" xfId="0" applyFont="1" applyAlignment="1">
      <alignment horizontal="center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left"/>
    </xf>
    <xf numFmtId="2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right" vertical="center"/>
    </xf>
    <xf numFmtId="0" fontId="25" fillId="0" borderId="0" xfId="0" applyFont="1" applyAlignment="1">
      <alignment horizontal="center"/>
    </xf>
    <xf numFmtId="164" fontId="0" fillId="0" borderId="0" xfId="0" applyNumberFormat="1" applyAlignment="1">
      <alignment horizontal="left"/>
    </xf>
    <xf numFmtId="0" fontId="4" fillId="0" borderId="0" xfId="0" applyFont="1" applyAlignment="1">
      <alignment horizontal="right"/>
    </xf>
    <xf numFmtId="0" fontId="17" fillId="0" borderId="0" xfId="0" applyFont="1" applyFill="1" applyAlignment="1">
      <alignment horizontal="left" vertical="top"/>
    </xf>
    <xf numFmtId="165" fontId="1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left" vertical="top"/>
    </xf>
    <xf numFmtId="0" fontId="5" fillId="0" borderId="0" xfId="0" applyFont="1" applyBorder="1" applyAlignment="1">
      <alignment vertical="justify"/>
    </xf>
    <xf numFmtId="0" fontId="3" fillId="0" borderId="0" xfId="0" applyFont="1" applyBorder="1" applyAlignment="1"/>
    <xf numFmtId="0" fontId="3" fillId="0" borderId="0" xfId="0" applyFont="1" applyBorder="1"/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left" vertical="justify"/>
    </xf>
    <xf numFmtId="0" fontId="5" fillId="0" borderId="0" xfId="1" applyFont="1" applyBorder="1" applyAlignment="1">
      <alignment horizontal="center" vertical="top"/>
    </xf>
    <xf numFmtId="0" fontId="5" fillId="0" borderId="0" xfId="1" applyFont="1" applyAlignment="1">
      <alignment horizontal="left" vertical="top"/>
    </xf>
    <xf numFmtId="1" fontId="5" fillId="0" borderId="0" xfId="1" applyNumberFormat="1" applyFont="1" applyAlignment="1">
      <alignment horizontal="center" vertical="top"/>
    </xf>
    <xf numFmtId="0" fontId="5" fillId="0" borderId="0" xfId="1" applyFont="1" applyAlignment="1">
      <alignment horizontal="right" vertical="top"/>
    </xf>
    <xf numFmtId="164" fontId="5" fillId="0" borderId="0" xfId="1" applyNumberFormat="1" applyFont="1" applyAlignment="1">
      <alignment horizontal="left" vertical="top"/>
    </xf>
    <xf numFmtId="1" fontId="5" fillId="0" borderId="0" xfId="1" applyNumberFormat="1" applyFont="1" applyBorder="1" applyAlignment="1">
      <alignment horizontal="left" vertical="justify"/>
    </xf>
    <xf numFmtId="0" fontId="5" fillId="0" borderId="0" xfId="1" applyFont="1"/>
    <xf numFmtId="1" fontId="0" fillId="0" borderId="0" xfId="0" applyNumberFormat="1" applyBorder="1"/>
    <xf numFmtId="0" fontId="0" fillId="0" borderId="0" xfId="0" applyBorder="1" applyAlignment="1">
      <alignment horizontal="center"/>
    </xf>
    <xf numFmtId="1" fontId="1" fillId="0" borderId="0" xfId="0" applyNumberFormat="1" applyFont="1" applyBorder="1"/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vertical="center"/>
    </xf>
    <xf numFmtId="0" fontId="0" fillId="0" borderId="0" xfId="0" applyBorder="1" applyAlignment="1">
      <alignment horizontal="center" vertical="center"/>
    </xf>
    <xf numFmtId="1" fontId="1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" fontId="5" fillId="0" borderId="1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2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64" fontId="17" fillId="0" borderId="2" xfId="0" applyNumberFormat="1" applyFont="1" applyBorder="1" applyAlignment="1">
      <alignment horizontal="center"/>
    </xf>
    <xf numFmtId="164" fontId="17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5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2" fontId="29" fillId="0" borderId="0" xfId="0" applyNumberFormat="1" applyFont="1" applyAlignment="1">
      <alignment horizontal="center"/>
    </xf>
    <xf numFmtId="164" fontId="5" fillId="0" borderId="2" xfId="0" applyNumberFormat="1" applyFont="1" applyBorder="1"/>
    <xf numFmtId="2" fontId="5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"/>
    </xf>
    <xf numFmtId="0" fontId="5" fillId="0" borderId="0" xfId="1" applyFont="1" applyAlignment="1">
      <alignment horizontal="justify"/>
    </xf>
    <xf numFmtId="0" fontId="11" fillId="0" borderId="0" xfId="1" applyFont="1" applyAlignment="1">
      <alignment horizontal="left" vertical="top"/>
    </xf>
    <xf numFmtId="0" fontId="5" fillId="0" borderId="0" xfId="1" applyFont="1" applyAlignment="1">
      <alignment horizontal="left" wrapText="1"/>
    </xf>
    <xf numFmtId="1" fontId="5" fillId="0" borderId="0" xfId="1" applyNumberFormat="1" applyFont="1" applyAlignment="1">
      <alignment wrapText="1"/>
    </xf>
    <xf numFmtId="0" fontId="5" fillId="0" borderId="0" xfId="1" applyFont="1" applyAlignment="1">
      <alignment wrapText="1"/>
    </xf>
    <xf numFmtId="0" fontId="5" fillId="0" borderId="0" xfId="1" applyFont="1" applyAlignment="1">
      <alignment horizontal="center" vertical="top"/>
    </xf>
    <xf numFmtId="1" fontId="5" fillId="0" borderId="0" xfId="1" applyNumberFormat="1" applyFont="1"/>
    <xf numFmtId="164" fontId="5" fillId="0" borderId="0" xfId="1" applyNumberFormat="1" applyFont="1" applyAlignment="1">
      <alignment horizontal="right" vertical="top"/>
    </xf>
    <xf numFmtId="2" fontId="5" fillId="0" borderId="0" xfId="1" applyNumberFormat="1" applyFont="1" applyAlignment="1">
      <alignment horizontal="right" vertical="top"/>
    </xf>
    <xf numFmtId="2" fontId="5" fillId="0" borderId="0" xfId="1" applyNumberFormat="1" applyFont="1" applyAlignment="1">
      <alignment horizontal="left" vertical="top"/>
    </xf>
    <xf numFmtId="0" fontId="5" fillId="0" borderId="0" xfId="1" applyFont="1" applyAlignment="1">
      <alignment horizontal="center"/>
    </xf>
    <xf numFmtId="0" fontId="5" fillId="0" borderId="0" xfId="1" applyFont="1" applyBorder="1" applyAlignment="1">
      <alignment vertical="justify"/>
    </xf>
    <xf numFmtId="1" fontId="5" fillId="0" borderId="0" xfId="1" applyNumberFormat="1" applyFont="1" applyAlignment="1">
      <alignment horizontal="right" vertical="top"/>
    </xf>
    <xf numFmtId="0" fontId="5" fillId="0" borderId="0" xfId="1" applyFont="1" applyBorder="1"/>
    <xf numFmtId="1" fontId="5" fillId="0" borderId="0" xfId="0" applyNumberFormat="1" applyFont="1" applyBorder="1" applyAlignment="1">
      <alignment horizontal="left" vertical="justify"/>
    </xf>
    <xf numFmtId="1" fontId="5" fillId="0" borderId="0" xfId="1" applyNumberFormat="1" applyFont="1" applyAlignment="1">
      <alignment horizontal="left"/>
    </xf>
    <xf numFmtId="10" fontId="5" fillId="0" borderId="0" xfId="1" applyNumberFormat="1" applyFont="1" applyAlignment="1">
      <alignment horizontal="left" vertical="top"/>
    </xf>
    <xf numFmtId="1" fontId="5" fillId="0" borderId="0" xfId="1" applyNumberFormat="1" applyFont="1" applyAlignment="1">
      <alignment horizontal="left" vertical="top"/>
    </xf>
    <xf numFmtId="1" fontId="5" fillId="0" borderId="0" xfId="1" applyNumberFormat="1" applyFont="1" applyAlignment="1">
      <alignment vertical="top"/>
    </xf>
    <xf numFmtId="0" fontId="5" fillId="0" borderId="0" xfId="1" applyFont="1" applyAlignment="1">
      <alignment vertical="top"/>
    </xf>
    <xf numFmtId="1" fontId="12" fillId="0" borderId="0" xfId="1" applyNumberFormat="1" applyFont="1" applyAlignment="1">
      <alignment horizontal="left"/>
    </xf>
    <xf numFmtId="0" fontId="17" fillId="0" borderId="0" xfId="1" applyFont="1" applyAlignment="1">
      <alignment horizontal="right" vertical="top"/>
    </xf>
    <xf numFmtId="1" fontId="17" fillId="0" borderId="0" xfId="1" applyNumberFormat="1" applyFont="1" applyAlignment="1">
      <alignment horizontal="left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center"/>
    </xf>
    <xf numFmtId="0" fontId="21" fillId="0" borderId="0" xfId="0" applyFont="1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46" fillId="0" borderId="11" xfId="0" applyFont="1" applyBorder="1"/>
    <xf numFmtId="0" fontId="45" fillId="0" borderId="0" xfId="0" applyFont="1" applyAlignment="1">
      <alignment horizontal="center"/>
    </xf>
    <xf numFmtId="0" fontId="46" fillId="0" borderId="0" xfId="0" applyFont="1" applyBorder="1"/>
    <xf numFmtId="0" fontId="46" fillId="0" borderId="12" xfId="0" applyFont="1" applyBorder="1"/>
    <xf numFmtId="0" fontId="47" fillId="0" borderId="11" xfId="0" applyFont="1" applyBorder="1"/>
    <xf numFmtId="0" fontId="47" fillId="0" borderId="0" xfId="0" applyFont="1" applyBorder="1"/>
    <xf numFmtId="0" fontId="47" fillId="0" borderId="12" xfId="0" applyFont="1" applyBorder="1"/>
    <xf numFmtId="0" fontId="27" fillId="0" borderId="0" xfId="0" applyFont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38" fillId="0" borderId="0" xfId="0" applyFont="1" applyBorder="1"/>
    <xf numFmtId="2" fontId="5" fillId="0" borderId="0" xfId="0" applyNumberFormat="1" applyFont="1" applyAlignment="1">
      <alignment horizontal="left"/>
    </xf>
    <xf numFmtId="2" fontId="17" fillId="0" borderId="0" xfId="0" applyNumberFormat="1" applyFont="1" applyAlignment="1">
      <alignment horizontal="left"/>
    </xf>
    <xf numFmtId="0" fontId="1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8" fillId="0" borderId="1" xfId="0" applyFont="1" applyBorder="1" applyAlignment="1">
      <alignment horizontal="center"/>
    </xf>
    <xf numFmtId="164" fontId="28" fillId="0" borderId="0" xfId="0" applyNumberFormat="1" applyFont="1" applyAlignment="1">
      <alignment horizontal="center"/>
    </xf>
    <xf numFmtId="2" fontId="28" fillId="0" borderId="0" xfId="0" applyNumberFormat="1" applyFont="1" applyAlignment="1">
      <alignment horizontal="left"/>
    </xf>
    <xf numFmtId="0" fontId="29" fillId="0" borderId="0" xfId="0" applyFont="1" applyAlignment="1">
      <alignment horizontal="center" vertical="center"/>
    </xf>
    <xf numFmtId="2" fontId="29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right" vertical="center"/>
    </xf>
    <xf numFmtId="0" fontId="29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164" fontId="29" fillId="0" borderId="0" xfId="0" applyNumberFormat="1" applyFont="1"/>
    <xf numFmtId="0" fontId="28" fillId="0" borderId="2" xfId="0" applyFont="1" applyBorder="1" applyAlignment="1">
      <alignment horizontal="center"/>
    </xf>
    <xf numFmtId="0" fontId="29" fillId="0" borderId="0" xfId="0" applyFont="1" applyAlignment="1"/>
    <xf numFmtId="0" fontId="28" fillId="0" borderId="1" xfId="0" applyFont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 vertical="center"/>
    </xf>
    <xf numFmtId="2" fontId="29" fillId="0" borderId="1" xfId="0" applyNumberFormat="1" applyFont="1" applyBorder="1" applyAlignment="1">
      <alignment horizontal="center"/>
    </xf>
    <xf numFmtId="0" fontId="29" fillId="0" borderId="18" xfId="0" applyFont="1" applyBorder="1" applyAlignment="1">
      <alignment horizontal="center" vertical="center"/>
    </xf>
    <xf numFmtId="0" fontId="29" fillId="0" borderId="6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/>
    </xf>
    <xf numFmtId="0" fontId="29" fillId="0" borderId="4" xfId="0" applyFont="1" applyBorder="1" applyAlignment="1">
      <alignment horizontal="center" vertical="center"/>
    </xf>
    <xf numFmtId="0" fontId="29" fillId="0" borderId="19" xfId="0" applyFont="1" applyBorder="1" applyAlignment="1">
      <alignment horizontal="center" vertical="center"/>
    </xf>
    <xf numFmtId="0" fontId="29" fillId="0" borderId="5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29" fillId="0" borderId="1" xfId="0" applyFont="1" applyBorder="1"/>
    <xf numFmtId="2" fontId="28" fillId="0" borderId="1" xfId="0" applyNumberFormat="1" applyFont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/>
    </xf>
    <xf numFmtId="1" fontId="28" fillId="3" borderId="1" xfId="0" applyNumberFormat="1" applyFont="1" applyFill="1" applyBorder="1" applyAlignment="1">
      <alignment horizontal="center" vertical="center"/>
    </xf>
    <xf numFmtId="0" fontId="29" fillId="3" borderId="0" xfId="0" applyFont="1" applyFill="1"/>
    <xf numFmtId="0" fontId="28" fillId="0" borderId="0" xfId="0" applyFont="1" applyBorder="1" applyAlignment="1">
      <alignment vertical="center"/>
    </xf>
    <xf numFmtId="1" fontId="28" fillId="0" borderId="0" xfId="0" applyNumberFormat="1" applyFont="1" applyBorder="1" applyAlignment="1">
      <alignment horizontal="center" vertical="center"/>
    </xf>
    <xf numFmtId="1" fontId="29" fillId="0" borderId="1" xfId="0" applyNumberFormat="1" applyFont="1" applyBorder="1" applyAlignment="1">
      <alignment horizontal="center" vertical="center"/>
    </xf>
    <xf numFmtId="1" fontId="29" fillId="0" borderId="1" xfId="0" applyNumberFormat="1" applyFont="1" applyBorder="1" applyAlignment="1">
      <alignment horizontal="center"/>
    </xf>
    <xf numFmtId="1" fontId="28" fillId="0" borderId="1" xfId="0" applyNumberFormat="1" applyFont="1" applyBorder="1" applyAlignment="1">
      <alignment horizontal="center" vertical="center"/>
    </xf>
    <xf numFmtId="1" fontId="29" fillId="0" borderId="0" xfId="0" applyNumberFormat="1" applyFont="1" applyBorder="1" applyAlignment="1">
      <alignment horizontal="center" vertical="center"/>
    </xf>
    <xf numFmtId="2" fontId="28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horizontal="left" vertical="center"/>
    </xf>
    <xf numFmtId="2" fontId="2" fillId="0" borderId="0" xfId="0" applyNumberFormat="1" applyFont="1" applyAlignment="1"/>
    <xf numFmtId="0" fontId="29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31" fillId="0" borderId="0" xfId="0" applyFont="1" applyAlignment="1"/>
    <xf numFmtId="164" fontId="31" fillId="0" borderId="0" xfId="0" applyNumberFormat="1" applyFont="1" applyBorder="1" applyAlignment="1"/>
    <xf numFmtId="164" fontId="28" fillId="0" borderId="0" xfId="0" applyNumberFormat="1" applyFont="1" applyBorder="1" applyAlignment="1">
      <alignment horizontal="left"/>
    </xf>
    <xf numFmtId="0" fontId="51" fillId="0" borderId="8" xfId="0" applyFont="1" applyBorder="1"/>
    <xf numFmtId="0" fontId="51" fillId="0" borderId="9" xfId="0" applyFont="1" applyBorder="1"/>
    <xf numFmtId="0" fontId="51" fillId="0" borderId="10" xfId="0" applyFont="1" applyBorder="1"/>
    <xf numFmtId="0" fontId="51" fillId="0" borderId="0" xfId="0" applyFont="1"/>
    <xf numFmtId="0" fontId="51" fillId="0" borderId="11" xfId="0" applyFont="1" applyBorder="1"/>
    <xf numFmtId="0" fontId="51" fillId="0" borderId="0" xfId="0" applyFont="1" applyBorder="1"/>
    <xf numFmtId="0" fontId="51" fillId="0" borderId="12" xfId="0" applyFont="1" applyBorder="1"/>
    <xf numFmtId="0" fontId="54" fillId="0" borderId="0" xfId="0" applyFont="1" applyBorder="1" applyAlignment="1">
      <alignment horizontal="right"/>
    </xf>
    <xf numFmtId="0" fontId="54" fillId="0" borderId="12" xfId="0" applyFont="1" applyBorder="1" applyAlignment="1">
      <alignment horizontal="left"/>
    </xf>
    <xf numFmtId="0" fontId="53" fillId="0" borderId="0" xfId="0" applyFont="1" applyAlignment="1">
      <alignment horizontal="center"/>
    </xf>
    <xf numFmtId="0" fontId="30" fillId="0" borderId="0" xfId="0" applyFont="1" applyBorder="1" applyAlignment="1">
      <alignment horizontal="left"/>
    </xf>
    <xf numFmtId="1" fontId="30" fillId="0" borderId="0" xfId="0" applyNumberFormat="1" applyFont="1" applyBorder="1" applyAlignment="1">
      <alignment horizontal="left"/>
    </xf>
    <xf numFmtId="0" fontId="51" fillId="0" borderId="13" xfId="0" applyFont="1" applyBorder="1"/>
    <xf numFmtId="0" fontId="51" fillId="0" borderId="14" xfId="0" applyFont="1" applyBorder="1"/>
    <xf numFmtId="0" fontId="51" fillId="0" borderId="15" xfId="0" applyFont="1" applyBorder="1"/>
    <xf numFmtId="0" fontId="57" fillId="0" borderId="0" xfId="0" applyFont="1" applyAlignment="1">
      <alignment vertical="center"/>
    </xf>
    <xf numFmtId="0" fontId="57" fillId="0" borderId="0" xfId="0" applyFont="1" applyAlignment="1">
      <alignment vertical="center" wrapText="1"/>
    </xf>
    <xf numFmtId="0" fontId="30" fillId="0" borderId="0" xfId="0" applyFont="1" applyAlignment="1"/>
    <xf numFmtId="0" fontId="51" fillId="0" borderId="0" xfId="0" applyFont="1" applyAlignment="1">
      <alignment horizontal="center"/>
    </xf>
    <xf numFmtId="1" fontId="51" fillId="0" borderId="0" xfId="0" applyNumberFormat="1" applyFont="1" applyAlignment="1">
      <alignment horizontal="left"/>
    </xf>
    <xf numFmtId="0" fontId="54" fillId="0" borderId="0" xfId="0" applyFont="1"/>
    <xf numFmtId="0" fontId="54" fillId="0" borderId="0" xfId="0" quotePrefix="1" applyFont="1" applyAlignment="1">
      <alignment vertical="center"/>
    </xf>
    <xf numFmtId="1" fontId="54" fillId="0" borderId="7" xfId="0" applyNumberFormat="1" applyFont="1" applyBorder="1" applyAlignment="1">
      <alignment horizontal="left" vertical="center"/>
    </xf>
    <xf numFmtId="1" fontId="51" fillId="0" borderId="0" xfId="0" applyNumberFormat="1" applyFont="1"/>
    <xf numFmtId="0" fontId="54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4" fillId="0" borderId="0" xfId="0" applyNumberFormat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29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 vertical="center"/>
    </xf>
    <xf numFmtId="2" fontId="28" fillId="0" borderId="0" xfId="0" applyNumberFormat="1" applyFont="1" applyAlignment="1">
      <alignment horizontal="left"/>
    </xf>
    <xf numFmtId="0" fontId="25" fillId="0" borderId="0" xfId="0" applyFont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/>
    </xf>
    <xf numFmtId="0" fontId="29" fillId="0" borderId="0" xfId="0" applyFont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48" fillId="0" borderId="13" xfId="0" applyFont="1" applyFill="1" applyBorder="1" applyAlignment="1">
      <alignment horizontal="center" vertical="top" wrapText="1"/>
    </xf>
    <xf numFmtId="0" fontId="48" fillId="0" borderId="14" xfId="0" applyFont="1" applyFill="1" applyBorder="1" applyAlignment="1">
      <alignment horizontal="center" vertical="top" wrapText="1"/>
    </xf>
    <xf numFmtId="0" fontId="48" fillId="0" borderId="15" xfId="0" applyFont="1" applyFill="1" applyBorder="1" applyAlignment="1">
      <alignment horizontal="center" vertical="top" wrapText="1"/>
    </xf>
    <xf numFmtId="0" fontId="5" fillId="0" borderId="1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165" fontId="25" fillId="0" borderId="0" xfId="0" applyNumberFormat="1" applyFont="1" applyBorder="1" applyAlignment="1">
      <alignment horizontal="left"/>
    </xf>
    <xf numFmtId="165" fontId="25" fillId="0" borderId="12" xfId="0" applyNumberFormat="1" applyFont="1" applyBorder="1" applyAlignment="1">
      <alignment horizontal="left"/>
    </xf>
    <xf numFmtId="0" fontId="49" fillId="0" borderId="11" xfId="0" applyFont="1" applyBorder="1" applyAlignment="1">
      <alignment horizontal="center"/>
    </xf>
    <xf numFmtId="0" fontId="49" fillId="0" borderId="0" xfId="0" applyFont="1" applyAlignment="1">
      <alignment horizontal="center"/>
    </xf>
    <xf numFmtId="0" fontId="49" fillId="0" borderId="12" xfId="0" applyFont="1" applyBorder="1" applyAlignment="1">
      <alignment horizontal="center"/>
    </xf>
    <xf numFmtId="0" fontId="44" fillId="0" borderId="11" xfId="0" applyFont="1" applyBorder="1" applyAlignment="1">
      <alignment horizontal="center"/>
    </xf>
    <xf numFmtId="0" fontId="44" fillId="0" borderId="0" xfId="0" applyFont="1" applyAlignment="1">
      <alignment horizontal="center"/>
    </xf>
    <xf numFmtId="0" fontId="44" fillId="0" borderId="12" xfId="0" applyFont="1" applyBorder="1" applyAlignment="1">
      <alignment horizontal="center"/>
    </xf>
    <xf numFmtId="0" fontId="49" fillId="0" borderId="11" xfId="0" applyFont="1" applyBorder="1" applyAlignment="1">
      <alignment horizontal="center" vertical="top" wrapText="1"/>
    </xf>
    <xf numFmtId="0" fontId="49" fillId="0" borderId="0" xfId="0" applyFont="1" applyAlignment="1">
      <alignment horizontal="center" vertical="top" wrapText="1"/>
    </xf>
    <xf numFmtId="0" fontId="49" fillId="0" borderId="12" xfId="0" applyFont="1" applyBorder="1" applyAlignment="1">
      <alignment horizontal="center" vertical="top" wrapText="1"/>
    </xf>
    <xf numFmtId="0" fontId="45" fillId="0" borderId="11" xfId="0" applyFont="1" applyBorder="1" applyAlignment="1">
      <alignment horizontal="center" vertical="top" wrapText="1"/>
    </xf>
    <xf numFmtId="0" fontId="45" fillId="0" borderId="0" xfId="0" applyFont="1" applyAlignment="1">
      <alignment horizontal="center" vertical="top" wrapText="1"/>
    </xf>
    <xf numFmtId="0" fontId="45" fillId="0" borderId="12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32" fillId="0" borderId="0" xfId="0" applyFont="1" applyAlignment="1">
      <alignment horizontal="center"/>
    </xf>
    <xf numFmtId="0" fontId="32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27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 vertical="center" wrapText="1"/>
    </xf>
    <xf numFmtId="9" fontId="4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1" fontId="5" fillId="0" borderId="3" xfId="0" applyNumberFormat="1" applyFont="1" applyBorder="1" applyAlignment="1">
      <alignment horizontal="center"/>
    </xf>
    <xf numFmtId="1" fontId="17" fillId="0" borderId="0" xfId="0" applyNumberFormat="1" applyFont="1" applyAlignment="1">
      <alignment horizontal="center"/>
    </xf>
    <xf numFmtId="0" fontId="17" fillId="0" borderId="0" xfId="0" applyFont="1" applyAlignment="1">
      <alignment horizontal="center"/>
    </xf>
    <xf numFmtId="2" fontId="5" fillId="0" borderId="0" xfId="0" applyNumberFormat="1" applyFont="1" applyAlignment="1">
      <alignment horizontal="left"/>
    </xf>
    <xf numFmtId="2" fontId="17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11" fillId="0" borderId="0" xfId="0" applyFont="1" applyAlignment="1">
      <alignment horizontal="left" vertical="center" wrapText="1"/>
    </xf>
    <xf numFmtId="2" fontId="5" fillId="0" borderId="0" xfId="0" applyNumberFormat="1" applyFont="1" applyAlignment="1">
      <alignment horizontal="center"/>
    </xf>
    <xf numFmtId="2" fontId="17" fillId="0" borderId="0" xfId="0" applyNumberFormat="1" applyFont="1" applyAlignment="1">
      <alignment horizontal="left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left" vertical="center"/>
    </xf>
    <xf numFmtId="164" fontId="17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left"/>
    </xf>
    <xf numFmtId="2" fontId="17" fillId="0" borderId="0" xfId="0" applyNumberFormat="1" applyFont="1" applyAlignment="1">
      <alignment horizontal="center" vertical="center"/>
    </xf>
    <xf numFmtId="2" fontId="5" fillId="0" borderId="0" xfId="0" applyNumberFormat="1" applyFont="1" applyAlignment="1">
      <alignment horizontal="left" vertical="center"/>
    </xf>
    <xf numFmtId="1" fontId="5" fillId="0" borderId="0" xfId="0" applyNumberFormat="1" applyFont="1" applyAlignment="1">
      <alignment horizontal="center" vertical="top"/>
    </xf>
    <xf numFmtId="164" fontId="4" fillId="0" borderId="0" xfId="0" applyNumberFormat="1" applyFont="1" applyAlignment="1">
      <alignment horizontal="center"/>
    </xf>
    <xf numFmtId="2" fontId="4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 vertical="top"/>
    </xf>
    <xf numFmtId="2" fontId="5" fillId="0" borderId="0" xfId="0" applyNumberFormat="1" applyFont="1" applyAlignment="1">
      <alignment horizontal="right" vertical="top"/>
    </xf>
    <xf numFmtId="0" fontId="11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2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1" fontId="16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/>
    </xf>
    <xf numFmtId="164" fontId="1" fillId="0" borderId="0" xfId="0" applyNumberFormat="1" applyFont="1" applyAlignment="1">
      <alignment horizontal="left" vertical="center"/>
    </xf>
    <xf numFmtId="2" fontId="7" fillId="0" borderId="0" xfId="0" applyNumberFormat="1" applyFont="1" applyAlignment="1">
      <alignment horizontal="left"/>
    </xf>
    <xf numFmtId="2" fontId="25" fillId="0" borderId="0" xfId="0" applyNumberFormat="1" applyFont="1" applyAlignment="1">
      <alignment horizontal="right" vertical="center"/>
    </xf>
    <xf numFmtId="2" fontId="25" fillId="0" borderId="0" xfId="0" applyNumberFormat="1" applyFont="1" applyAlignment="1">
      <alignment horizontal="left" vertical="center"/>
    </xf>
    <xf numFmtId="2" fontId="1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52" fillId="0" borderId="0" xfId="0" applyFont="1" applyAlignment="1">
      <alignment horizontal="center" vertical="center"/>
    </xf>
    <xf numFmtId="0" fontId="52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center" vertical="center"/>
    </xf>
    <xf numFmtId="0" fontId="28" fillId="0" borderId="1" xfId="0" applyFont="1" applyBorder="1" applyAlignment="1">
      <alignment horizontal="center"/>
    </xf>
    <xf numFmtId="0" fontId="29" fillId="0" borderId="0" xfId="0" applyFont="1" applyAlignment="1">
      <alignment horizontal="justify" vertical="top" wrapText="1"/>
    </xf>
    <xf numFmtId="164" fontId="28" fillId="0" borderId="0" xfId="0" applyNumberFormat="1" applyFont="1" applyAlignment="1">
      <alignment horizontal="center"/>
    </xf>
    <xf numFmtId="2" fontId="28" fillId="0" borderId="0" xfId="0" applyNumberFormat="1" applyFont="1" applyAlignment="1">
      <alignment horizontal="left"/>
    </xf>
    <xf numFmtId="0" fontId="29" fillId="0" borderId="0" xfId="0" applyFont="1" applyAlignment="1">
      <alignment horizontal="center" vertical="center" wrapText="1"/>
    </xf>
    <xf numFmtId="2" fontId="29" fillId="0" borderId="0" xfId="0" applyNumberFormat="1" applyFont="1" applyAlignment="1">
      <alignment horizontal="center"/>
    </xf>
    <xf numFmtId="166" fontId="30" fillId="0" borderId="0" xfId="0" applyNumberFormat="1" applyFont="1" applyAlignment="1">
      <alignment horizontal="center" vertical="center" wrapText="1"/>
    </xf>
    <xf numFmtId="1" fontId="29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left" vertical="center"/>
    </xf>
    <xf numFmtId="0" fontId="29" fillId="0" borderId="7" xfId="0" applyFont="1" applyBorder="1" applyAlignment="1">
      <alignment horizontal="left" vertical="center"/>
    </xf>
    <xf numFmtId="0" fontId="29" fillId="0" borderId="6" xfId="0" applyFont="1" applyBorder="1" applyAlignment="1">
      <alignment horizontal="left" vertical="center"/>
    </xf>
    <xf numFmtId="0" fontId="28" fillId="3" borderId="5" xfId="0" applyFont="1" applyFill="1" applyBorder="1" applyAlignment="1">
      <alignment horizontal="right" vertical="center"/>
    </xf>
    <xf numFmtId="0" fontId="28" fillId="3" borderId="7" xfId="0" applyFont="1" applyFill="1" applyBorder="1" applyAlignment="1">
      <alignment horizontal="right" vertical="center"/>
    </xf>
    <xf numFmtId="0" fontId="28" fillId="3" borderId="6" xfId="0" applyFont="1" applyFill="1" applyBorder="1" applyAlignment="1">
      <alignment horizontal="right" vertical="center"/>
    </xf>
    <xf numFmtId="0" fontId="28" fillId="0" borderId="5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5" xfId="0" applyFont="1" applyBorder="1" applyAlignment="1">
      <alignment horizontal="right" vertical="center"/>
    </xf>
    <xf numFmtId="0" fontId="28" fillId="0" borderId="7" xfId="0" applyFont="1" applyBorder="1" applyAlignment="1">
      <alignment horizontal="right" vertical="center"/>
    </xf>
    <xf numFmtId="0" fontId="28" fillId="0" borderId="6" xfId="0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2" fontId="25" fillId="0" borderId="0" xfId="0" applyNumberFormat="1" applyFont="1" applyAlignment="1">
      <alignment horizontal="center"/>
    </xf>
    <xf numFmtId="2" fontId="25" fillId="0" borderId="0" xfId="0" applyNumberFormat="1" applyFont="1" applyAlignment="1">
      <alignment horizontal="left"/>
    </xf>
    <xf numFmtId="2" fontId="20" fillId="0" borderId="0" xfId="0" applyNumberFormat="1" applyFont="1" applyAlignment="1">
      <alignment horizontal="center"/>
    </xf>
    <xf numFmtId="164" fontId="25" fillId="0" borderId="0" xfId="0" applyNumberFormat="1" applyFont="1" applyAlignment="1">
      <alignment horizontal="left"/>
    </xf>
    <xf numFmtId="0" fontId="25" fillId="0" borderId="0" xfId="0" applyFont="1" applyAlignment="1">
      <alignment horizontal="left"/>
    </xf>
    <xf numFmtId="2" fontId="25" fillId="0" borderId="0" xfId="0" applyNumberFormat="1" applyFont="1" applyFill="1" applyAlignment="1">
      <alignment horizontal="center"/>
    </xf>
    <xf numFmtId="0" fontId="25" fillId="0" borderId="0" xfId="0" applyFont="1" applyAlignment="1">
      <alignment horizontal="center"/>
    </xf>
    <xf numFmtId="0" fontId="20" fillId="0" borderId="3" xfId="0" applyFont="1" applyBorder="1" applyAlignment="1">
      <alignment horizontal="center"/>
    </xf>
    <xf numFmtId="0" fontId="20" fillId="0" borderId="0" xfId="0" applyFont="1" applyAlignment="1">
      <alignment horizontal="left" vertical="top" wrapText="1"/>
    </xf>
    <xf numFmtId="0" fontId="25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2" fontId="20" fillId="0" borderId="0" xfId="0" applyNumberFormat="1" applyFont="1" applyAlignment="1">
      <alignment horizontal="center" vertical="center"/>
    </xf>
    <xf numFmtId="0" fontId="25" fillId="0" borderId="0" xfId="0" applyFont="1" applyAlignment="1">
      <alignment horizontal="center" vertical="top" wrapText="1"/>
    </xf>
    <xf numFmtId="0" fontId="25" fillId="0" borderId="0" xfId="0" applyFont="1" applyAlignment="1">
      <alignment horizontal="left" vertical="center"/>
    </xf>
    <xf numFmtId="165" fontId="25" fillId="0" borderId="0" xfId="0" applyNumberFormat="1" applyFont="1" applyAlignment="1">
      <alignment horizontal="left" vertical="center"/>
    </xf>
    <xf numFmtId="1" fontId="20" fillId="0" borderId="0" xfId="0" applyNumberFormat="1" applyFont="1" applyAlignment="1">
      <alignment horizontal="center" vertical="top" wrapText="1"/>
    </xf>
    <xf numFmtId="0" fontId="20" fillId="0" borderId="3" xfId="0" applyFont="1" applyBorder="1" applyAlignment="1">
      <alignment horizontal="center" vertical="top" wrapText="1"/>
    </xf>
    <xf numFmtId="0" fontId="31" fillId="0" borderId="0" xfId="0" applyFont="1" applyAlignment="1">
      <alignment horizontal="center"/>
    </xf>
    <xf numFmtId="0" fontId="29" fillId="0" borderId="5" xfId="0" applyFont="1" applyBorder="1" applyAlignment="1">
      <alignment horizontal="left" vertical="justify"/>
    </xf>
    <xf numFmtId="0" fontId="29" fillId="0" borderId="7" xfId="0" applyFont="1" applyBorder="1" applyAlignment="1">
      <alignment horizontal="left" vertical="justify"/>
    </xf>
    <xf numFmtId="0" fontId="29" fillId="0" borderId="6" xfId="0" applyFont="1" applyBorder="1" applyAlignment="1">
      <alignment horizontal="left" vertical="justify"/>
    </xf>
    <xf numFmtId="0" fontId="27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right"/>
    </xf>
    <xf numFmtId="0" fontId="24" fillId="0" borderId="0" xfId="0" applyFont="1" applyAlignment="1">
      <alignment horizontal="left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left"/>
    </xf>
    <xf numFmtId="0" fontId="37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1" fontId="0" fillId="0" borderId="0" xfId="0" applyNumberFormat="1" applyAlignment="1">
      <alignment horizontal="right"/>
    </xf>
    <xf numFmtId="2" fontId="16" fillId="0" borderId="0" xfId="0" applyNumberFormat="1" applyFont="1" applyAlignment="1">
      <alignment horizontal="justify" wrapText="1"/>
    </xf>
    <xf numFmtId="1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left" vertical="justify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 applyAlignment="1">
      <alignment horizontal="left"/>
    </xf>
    <xf numFmtId="164" fontId="1" fillId="0" borderId="0" xfId="0" applyNumberFormat="1" applyFont="1" applyAlignment="1">
      <alignment horizontal="right"/>
    </xf>
    <xf numFmtId="0" fontId="42" fillId="0" borderId="0" xfId="0" applyFont="1" applyBorder="1" applyAlignment="1">
      <alignment horizontal="center"/>
    </xf>
    <xf numFmtId="0" fontId="43" fillId="0" borderId="0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0" fillId="0" borderId="0" xfId="0" applyFont="1" applyAlignment="1">
      <alignment horizontal="center"/>
    </xf>
    <xf numFmtId="0" fontId="0" fillId="0" borderId="5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9" fillId="0" borderId="0" xfId="0" applyFont="1" applyAlignment="1">
      <alignment horizontal="left"/>
    </xf>
    <xf numFmtId="0" fontId="29" fillId="0" borderId="0" xfId="0" applyFont="1" applyAlignment="1">
      <alignment horizontal="left" vertical="top"/>
    </xf>
    <xf numFmtId="0" fontId="29" fillId="0" borderId="0" xfId="0" applyFont="1" applyAlignment="1">
      <alignment horizontal="left" vertical="top" wrapText="1"/>
    </xf>
    <xf numFmtId="0" fontId="29" fillId="0" borderId="0" xfId="0" applyFont="1" applyAlignment="1">
      <alignment horizontal="justify" vertical="justify" wrapText="1"/>
    </xf>
    <xf numFmtId="0" fontId="29" fillId="0" borderId="0" xfId="0" applyFont="1" applyAlignment="1">
      <alignment horizontal="justify" vertical="justify"/>
    </xf>
    <xf numFmtId="0" fontId="29" fillId="0" borderId="0" xfId="0" applyFont="1" applyAlignment="1">
      <alignment horizontal="left" vertical="justify" wrapText="1"/>
    </xf>
    <xf numFmtId="0" fontId="29" fillId="0" borderId="0" xfId="0" applyFont="1" applyAlignment="1">
      <alignment horizontal="left" vertical="center" wrapText="1"/>
    </xf>
    <xf numFmtId="0" fontId="53" fillId="0" borderId="11" xfId="0" applyFont="1" applyBorder="1" applyAlignment="1">
      <alignment horizontal="center"/>
    </xf>
    <xf numFmtId="0" fontId="53" fillId="0" borderId="0" xfId="0" applyFont="1" applyAlignment="1">
      <alignment horizontal="center"/>
    </xf>
    <xf numFmtId="0" fontId="53" fillId="0" borderId="12" xfId="0" applyFont="1" applyBorder="1" applyAlignment="1">
      <alignment horizontal="center"/>
    </xf>
    <xf numFmtId="0" fontId="30" fillId="0" borderId="8" xfId="0" applyFont="1" applyBorder="1" applyAlignment="1">
      <alignment horizontal="center"/>
    </xf>
    <xf numFmtId="0" fontId="30" fillId="0" borderId="9" xfId="0" applyFont="1" applyBorder="1" applyAlignment="1">
      <alignment horizontal="center"/>
    </xf>
    <xf numFmtId="0" fontId="30" fillId="0" borderId="10" xfId="0" applyFont="1" applyBorder="1" applyAlignment="1">
      <alignment horizontal="center"/>
    </xf>
    <xf numFmtId="0" fontId="30" fillId="0" borderId="13" xfId="0" applyFont="1" applyFill="1" applyBorder="1" applyAlignment="1">
      <alignment horizontal="center" vertical="top" wrapText="1"/>
    </xf>
    <xf numFmtId="0" fontId="30" fillId="0" borderId="14" xfId="0" applyFont="1" applyFill="1" applyBorder="1" applyAlignment="1">
      <alignment horizontal="center" vertical="top" wrapText="1"/>
    </xf>
    <xf numFmtId="0" fontId="30" fillId="0" borderId="15" xfId="0" applyFont="1" applyFill="1" applyBorder="1" applyAlignment="1">
      <alignment horizontal="center" vertical="top" wrapText="1"/>
    </xf>
    <xf numFmtId="0" fontId="30" fillId="0" borderId="0" xfId="0" applyFont="1" applyBorder="1" applyAlignment="1">
      <alignment horizontal="right"/>
    </xf>
    <xf numFmtId="0" fontId="56" fillId="0" borderId="11" xfId="0" applyFont="1" applyBorder="1" applyAlignment="1">
      <alignment horizontal="center"/>
    </xf>
    <xf numFmtId="0" fontId="56" fillId="0" borderId="0" xfId="0" applyFont="1" applyAlignment="1">
      <alignment horizontal="center"/>
    </xf>
    <xf numFmtId="0" fontId="56" fillId="0" borderId="12" xfId="0" applyFont="1" applyBorder="1" applyAlignment="1">
      <alignment horizontal="center"/>
    </xf>
    <xf numFmtId="0" fontId="54" fillId="0" borderId="0" xfId="0" applyFont="1" applyBorder="1" applyAlignment="1">
      <alignment horizontal="center"/>
    </xf>
    <xf numFmtId="0" fontId="55" fillId="0" borderId="11" xfId="0" applyFont="1" applyBorder="1" applyAlignment="1">
      <alignment horizontal="center"/>
    </xf>
    <xf numFmtId="0" fontId="55" fillId="0" borderId="0" xfId="0" applyFont="1" applyBorder="1" applyAlignment="1">
      <alignment horizontal="center"/>
    </xf>
    <xf numFmtId="0" fontId="55" fillId="0" borderId="12" xfId="0" applyFont="1" applyBorder="1" applyAlignment="1">
      <alignment horizontal="center"/>
    </xf>
    <xf numFmtId="0" fontId="55" fillId="0" borderId="0" xfId="0" applyFont="1" applyAlignment="1">
      <alignment horizontal="center"/>
    </xf>
    <xf numFmtId="0" fontId="51" fillId="0" borderId="2" xfId="0" applyFont="1" applyBorder="1" applyAlignment="1">
      <alignment horizontal="left" vertical="top" wrapText="1"/>
    </xf>
    <xf numFmtId="0" fontId="51" fillId="0" borderId="2" xfId="0" applyFont="1" applyBorder="1" applyAlignment="1">
      <alignment horizontal="left" vertical="center" wrapText="1"/>
    </xf>
    <xf numFmtId="0" fontId="51" fillId="0" borderId="0" xfId="0" applyFont="1" applyBorder="1" applyAlignment="1">
      <alignment horizontal="left" vertical="top" wrapText="1"/>
    </xf>
    <xf numFmtId="0" fontId="51" fillId="0" borderId="0" xfId="0" applyFont="1" applyBorder="1" applyAlignment="1">
      <alignment horizontal="left" vertical="center" wrapText="1"/>
    </xf>
    <xf numFmtId="0" fontId="58" fillId="0" borderId="0" xfId="0" applyFont="1"/>
    <xf numFmtId="0" fontId="59" fillId="0" borderId="0" xfId="0" applyFont="1"/>
    <xf numFmtId="0" fontId="58" fillId="0" borderId="0" xfId="0" applyFont="1" applyBorder="1"/>
    <xf numFmtId="0" fontId="59" fillId="0" borderId="0" xfId="0" applyFont="1" applyBorder="1" applyAlignment="1">
      <alignment horizontal="right"/>
    </xf>
    <xf numFmtId="1" fontId="59" fillId="0" borderId="0" xfId="0" applyNumberFormat="1" applyFont="1" applyBorder="1" applyAlignment="1">
      <alignment horizontal="left"/>
    </xf>
    <xf numFmtId="0" fontId="58" fillId="0" borderId="18" xfId="0" applyFont="1" applyBorder="1" applyAlignment="1">
      <alignment horizontal="center" vertical="center"/>
    </xf>
    <xf numFmtId="0" fontId="58" fillId="0" borderId="18" xfId="0" applyFont="1" applyBorder="1" applyAlignment="1">
      <alignment horizontal="center" vertical="center"/>
    </xf>
    <xf numFmtId="0" fontId="58" fillId="0" borderId="20" xfId="0" applyFont="1" applyBorder="1" applyAlignment="1">
      <alignment horizontal="center" vertical="center" wrapText="1"/>
    </xf>
    <xf numFmtId="0" fontId="58" fillId="0" borderId="3" xfId="0" applyFont="1" applyBorder="1" applyAlignment="1">
      <alignment horizontal="center" vertical="center" wrapText="1"/>
    </xf>
    <xf numFmtId="0" fontId="58" fillId="0" borderId="21" xfId="0" applyFont="1" applyBorder="1" applyAlignment="1">
      <alignment horizontal="center" vertical="center" wrapText="1"/>
    </xf>
    <xf numFmtId="0" fontId="59" fillId="0" borderId="1" xfId="0" applyFont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58" fillId="0" borderId="1" xfId="0" applyFont="1" applyBorder="1" applyAlignment="1">
      <alignment horizontal="center" vertical="center"/>
    </xf>
    <xf numFmtId="0" fontId="58" fillId="0" borderId="5" xfId="0" applyFont="1" applyBorder="1" applyAlignment="1">
      <alignment horizontal="left" vertical="center"/>
    </xf>
    <xf numFmtId="0" fontId="58" fillId="0" borderId="7" xfId="0" applyFont="1" applyBorder="1" applyAlignment="1">
      <alignment horizontal="left" vertical="center"/>
    </xf>
    <xf numFmtId="0" fontId="58" fillId="0" borderId="6" xfId="0" applyFont="1" applyBorder="1" applyAlignment="1">
      <alignment horizontal="left" vertical="center"/>
    </xf>
    <xf numFmtId="1" fontId="58" fillId="0" borderId="1" xfId="0" applyNumberFormat="1" applyFont="1" applyBorder="1" applyAlignment="1">
      <alignment horizontal="center" vertical="center"/>
    </xf>
    <xf numFmtId="0" fontId="58" fillId="0" borderId="1" xfId="0" applyFont="1" applyBorder="1" applyAlignment="1">
      <alignment horizontal="center" vertical="center"/>
    </xf>
    <xf numFmtId="0" fontId="58" fillId="0" borderId="5" xfId="0" applyFont="1" applyBorder="1" applyAlignment="1">
      <alignment horizontal="right" vertical="center"/>
    </xf>
    <xf numFmtId="1" fontId="58" fillId="0" borderId="6" xfId="0" applyNumberFormat="1" applyFont="1" applyBorder="1" applyAlignment="1">
      <alignment horizontal="left" vertical="center"/>
    </xf>
    <xf numFmtId="0" fontId="16" fillId="0" borderId="1" xfId="0" applyFont="1" applyBorder="1"/>
    <xf numFmtId="0" fontId="17" fillId="0" borderId="5" xfId="0" applyFont="1" applyBorder="1" applyAlignment="1">
      <alignment horizontal="right" vertical="center"/>
    </xf>
    <xf numFmtId="0" fontId="17" fillId="0" borderId="7" xfId="0" applyFont="1" applyBorder="1" applyAlignment="1">
      <alignment horizontal="right" vertical="center"/>
    </xf>
    <xf numFmtId="0" fontId="17" fillId="0" borderId="6" xfId="0" applyFont="1" applyBorder="1" applyAlignment="1">
      <alignment horizontal="right" vertical="center"/>
    </xf>
    <xf numFmtId="1" fontId="59" fillId="0" borderId="1" xfId="0" applyNumberFormat="1" applyFont="1" applyBorder="1" applyAlignment="1">
      <alignment horizontal="center" vertical="center"/>
    </xf>
    <xf numFmtId="0" fontId="59" fillId="0" borderId="5" xfId="0" applyFont="1" applyBorder="1" applyAlignment="1">
      <alignment horizontal="right"/>
    </xf>
    <xf numFmtId="1" fontId="59" fillId="0" borderId="6" xfId="0" applyNumberFormat="1" applyFont="1" applyBorder="1" applyAlignment="1">
      <alignment horizontal="left"/>
    </xf>
    <xf numFmtId="0" fontId="58" fillId="0" borderId="0" xfId="0" quotePrefix="1" applyFont="1"/>
    <xf numFmtId="0" fontId="58" fillId="0" borderId="0" xfId="0" applyFont="1" applyAlignment="1">
      <alignment horizontal="left"/>
    </xf>
    <xf numFmtId="0" fontId="58" fillId="0" borderId="0" xfId="0" applyFont="1" applyAlignment="1">
      <alignment horizontal="left"/>
    </xf>
    <xf numFmtId="0" fontId="31" fillId="0" borderId="3" xfId="0" applyFont="1" applyBorder="1" applyAlignment="1">
      <alignment horizontal="left"/>
    </xf>
    <xf numFmtId="0" fontId="58" fillId="0" borderId="0" xfId="0" applyFont="1" applyAlignment="1"/>
    <xf numFmtId="0" fontId="59" fillId="0" borderId="0" xfId="0" applyFont="1" applyAlignment="1"/>
    <xf numFmtId="0" fontId="58" fillId="0" borderId="0" xfId="0" applyFont="1" applyBorder="1" applyAlignment="1"/>
    <xf numFmtId="0" fontId="59" fillId="0" borderId="0" xfId="0" applyFont="1" applyBorder="1" applyAlignment="1"/>
    <xf numFmtId="1" fontId="59" fillId="0" borderId="0" xfId="0" applyNumberFormat="1" applyFont="1" applyBorder="1" applyAlignment="1"/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4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3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1.xml"/><Relationship Id="rId35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466725</xdr:colOff>
      <xdr:row>25</xdr:row>
      <xdr:rowOff>304800</xdr:rowOff>
    </xdr:from>
    <xdr:to>
      <xdr:col>3</xdr:col>
      <xdr:colOff>542925</xdr:colOff>
      <xdr:row>26</xdr:row>
      <xdr:rowOff>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2295525" y="5114925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3</xdr:col>
      <xdr:colOff>447676</xdr:colOff>
      <xdr:row>5</xdr:row>
      <xdr:rowOff>9525</xdr:rowOff>
    </xdr:from>
    <xdr:to>
      <xdr:col>6</xdr:col>
      <xdr:colOff>57151</xdr:colOff>
      <xdr:row>14</xdr:row>
      <xdr:rowOff>38099</xdr:rowOff>
    </xdr:to>
    <xdr:pic>
      <xdr:nvPicPr>
        <xdr:cNvPr id="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76476" y="1133475"/>
          <a:ext cx="1581150" cy="14858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15</xdr:row>
      <xdr:rowOff>6723</xdr:rowOff>
    </xdr:from>
    <xdr:to>
      <xdr:col>5</xdr:col>
      <xdr:colOff>447675</xdr:colOff>
      <xdr:row>15</xdr:row>
      <xdr:rowOff>6723</xdr:rowOff>
    </xdr:to>
    <xdr:sp macro="" textlink="">
      <xdr:nvSpPr>
        <xdr:cNvPr id="2" name="Rectangle 3"/>
        <xdr:cNvSpPr>
          <a:spLocks noChangeArrowheads="1"/>
        </xdr:cNvSpPr>
      </xdr:nvSpPr>
      <xdr:spPr bwMode="auto">
        <a:xfrm>
          <a:off x="523875" y="3740523"/>
          <a:ext cx="2638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n-US" sz="10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87</xdr:row>
      <xdr:rowOff>0</xdr:rowOff>
    </xdr:from>
    <xdr:to>
      <xdr:col>15</xdr:col>
      <xdr:colOff>190500</xdr:colOff>
      <xdr:row>91</xdr:row>
      <xdr:rowOff>114300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504825" y="17240250"/>
          <a:ext cx="5314950" cy="914400"/>
          <a:chOff x="47625" y="5153025"/>
          <a:chExt cx="4953000" cy="914400"/>
        </a:xfrm>
      </xdr:grpSpPr>
      <xdr:sp macro="" textlink="">
        <xdr:nvSpPr>
          <xdr:cNvPr id="3" name="Text Box 1"/>
          <xdr:cNvSpPr txBox="1">
            <a:spLocks noChangeArrowheads="1"/>
          </xdr:cNvSpPr>
        </xdr:nvSpPr>
        <xdr:spPr bwMode="auto">
          <a:xfrm>
            <a:off x="47625" y="5153025"/>
            <a:ext cx="2481146" cy="8477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Sub-Divn:I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Larkano</a:t>
            </a:r>
          </a:p>
        </xdr:txBody>
      </xdr:sp>
      <xdr:sp macro="" textlink="">
        <xdr:nvSpPr>
          <xdr:cNvPr id="4" name="Rectangle 1"/>
          <xdr:cNvSpPr>
            <a:spLocks noChangeArrowheads="1"/>
          </xdr:cNvSpPr>
        </xdr:nvSpPr>
        <xdr:spPr bwMode="auto">
          <a:xfrm>
            <a:off x="3216430" y="5248275"/>
            <a:ext cx="1784195" cy="8191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Dvision-I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Larkano</a:t>
            </a:r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168</xdr:row>
      <xdr:rowOff>0</xdr:rowOff>
    </xdr:from>
    <xdr:to>
      <xdr:col>14</xdr:col>
      <xdr:colOff>257175</xdr:colOff>
      <xdr:row>173</xdr:row>
      <xdr:rowOff>104775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276225" y="29927550"/>
          <a:ext cx="4953000" cy="914400"/>
          <a:chOff x="47625" y="5153025"/>
          <a:chExt cx="4953000" cy="914400"/>
        </a:xfrm>
      </xdr:grpSpPr>
      <xdr:sp macro="" textlink="">
        <xdr:nvSpPr>
          <xdr:cNvPr id="3" name="Text Box 1"/>
          <xdr:cNvSpPr txBox="1">
            <a:spLocks noChangeArrowheads="1"/>
          </xdr:cNvSpPr>
        </xdr:nvSpPr>
        <xdr:spPr bwMode="auto">
          <a:xfrm>
            <a:off x="47625" y="5153025"/>
            <a:ext cx="2481199" cy="8477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Sub-Divn:I</a:t>
            </a:r>
          </a:p>
          <a:p>
            <a:pPr algn="ctr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Larkano</a:t>
            </a:r>
          </a:p>
          <a:p>
            <a:pPr algn="ctr" rtl="0">
              <a:defRPr sz="1000"/>
            </a:pPr>
            <a:endParaRPr lang="en-US" sz="120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4" name="Rectangle 1"/>
          <xdr:cNvSpPr>
            <a:spLocks noChangeArrowheads="1"/>
          </xdr:cNvSpPr>
        </xdr:nvSpPr>
        <xdr:spPr bwMode="auto">
          <a:xfrm>
            <a:off x="3205515" y="5248275"/>
            <a:ext cx="1795110" cy="8191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Dvision-I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Larkano</a:t>
            </a:r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30</xdr:row>
      <xdr:rowOff>114300</xdr:rowOff>
    </xdr:from>
    <xdr:to>
      <xdr:col>3</xdr:col>
      <xdr:colOff>504825</xdr:colOff>
      <xdr:row>35</xdr:row>
      <xdr:rowOff>104776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6675" y="6800850"/>
          <a:ext cx="2771775" cy="942976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Assistant Engineer 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Engg: Sub-Div:I 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Larkano</a:t>
          </a:r>
        </a:p>
      </xdr:txBody>
    </xdr:sp>
    <xdr:clientData/>
  </xdr:twoCellAnchor>
  <xdr:twoCellAnchor>
    <xdr:from>
      <xdr:col>5</xdr:col>
      <xdr:colOff>0</xdr:colOff>
      <xdr:row>30</xdr:row>
      <xdr:rowOff>152400</xdr:rowOff>
    </xdr:from>
    <xdr:to>
      <xdr:col>8</xdr:col>
      <xdr:colOff>733425</xdr:colOff>
      <xdr:row>35</xdr:row>
      <xdr:rowOff>1178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343275" y="6838950"/>
          <a:ext cx="2352675" cy="801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Executive Engineer 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Engg: Division-I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Larkano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409575</xdr:colOff>
      <xdr:row>87</xdr:row>
      <xdr:rowOff>114300</xdr:rowOff>
    </xdr:from>
    <xdr:to>
      <xdr:col>4</xdr:col>
      <xdr:colOff>104775</xdr:colOff>
      <xdr:row>92</xdr:row>
      <xdr:rowOff>104775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09575" y="17735550"/>
          <a:ext cx="2133600" cy="91440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Assistant Engineer 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Engg: Sub-Div:I 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Larkano</a:t>
          </a:r>
        </a:p>
      </xdr:txBody>
    </xdr:sp>
    <xdr:clientData/>
  </xdr:twoCellAnchor>
  <xdr:twoCellAnchor>
    <xdr:from>
      <xdr:col>4</xdr:col>
      <xdr:colOff>504825</xdr:colOff>
      <xdr:row>87</xdr:row>
      <xdr:rowOff>114300</xdr:rowOff>
    </xdr:from>
    <xdr:to>
      <xdr:col>8</xdr:col>
      <xdr:colOff>447675</xdr:colOff>
      <xdr:row>91</xdr:row>
      <xdr:rowOff>182153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943225" y="17735550"/>
          <a:ext cx="2381250" cy="80127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Executive Engineer 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Public Health Engg: Division-I</a:t>
          </a:r>
        </a:p>
        <a:p>
          <a:pPr algn="ctr" rtl="1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Larkano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12</xdr:row>
      <xdr:rowOff>0</xdr:rowOff>
    </xdr:from>
    <xdr:to>
      <xdr:col>10</xdr:col>
      <xdr:colOff>469717</xdr:colOff>
      <xdr:row>16</xdr:row>
      <xdr:rowOff>33749</xdr:rowOff>
    </xdr:to>
    <xdr:sp macro="" textlink="">
      <xdr:nvSpPr>
        <xdr:cNvPr id="2" name="TextBox 1"/>
        <xdr:cNvSpPr txBox="1"/>
      </xdr:nvSpPr>
      <xdr:spPr bwMode="auto">
        <a:xfrm>
          <a:off x="3790950" y="3124200"/>
          <a:ext cx="3736792" cy="6814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/>
            <a:t>(</a:t>
          </a:r>
          <a:r>
            <a:rPr lang="en-US" sz="1100" b="1" i="1"/>
            <a:t>Abdul Wahab Sahito</a:t>
          </a:r>
          <a:r>
            <a:rPr lang="en-US" sz="1100"/>
            <a:t>)</a:t>
          </a:r>
        </a:p>
        <a:p>
          <a:pPr algn="ctr"/>
          <a:r>
            <a:rPr lang="en-US" sz="1100"/>
            <a:t>Executive Engineer</a:t>
          </a:r>
        </a:p>
        <a:p>
          <a:pPr algn="ctr"/>
          <a:r>
            <a:rPr lang="en-US" sz="1100"/>
            <a:t>Public Health Engg: Division-I</a:t>
          </a:r>
        </a:p>
        <a:p>
          <a:pPr algn="ctr"/>
          <a:r>
            <a:rPr lang="en-US" sz="1100"/>
            <a:t>Larkano</a:t>
          </a:r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4</xdr:col>
      <xdr:colOff>60142</xdr:colOff>
      <xdr:row>16</xdr:row>
      <xdr:rowOff>33749</xdr:rowOff>
    </xdr:to>
    <xdr:sp macro="" textlink="">
      <xdr:nvSpPr>
        <xdr:cNvPr id="3" name="TextBox 2"/>
        <xdr:cNvSpPr txBox="1"/>
      </xdr:nvSpPr>
      <xdr:spPr bwMode="auto">
        <a:xfrm>
          <a:off x="0" y="3124200"/>
          <a:ext cx="2346142" cy="6814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ctr"/>
        <a:lstStyle/>
        <a:p>
          <a:pPr algn="ctr"/>
          <a:r>
            <a:rPr lang="en-US" sz="1100"/>
            <a:t>( Muhammad Naeemudin</a:t>
          </a:r>
          <a:r>
            <a:rPr lang="en-US" sz="1100" baseline="0"/>
            <a:t> </a:t>
          </a:r>
          <a:r>
            <a:rPr lang="en-US" sz="1100"/>
            <a:t>)                                     Assistant Engineer</a:t>
          </a:r>
        </a:p>
        <a:p>
          <a:pPr algn="ctr"/>
          <a:r>
            <a:rPr lang="en-US" sz="1100"/>
            <a:t>Public Health Engg: Sub-Division-I</a:t>
          </a:r>
        </a:p>
        <a:p>
          <a:pPr algn="ctr"/>
          <a:r>
            <a:rPr lang="en-US" sz="1100"/>
            <a:t>Larkano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21</xdr:row>
      <xdr:rowOff>0</xdr:rowOff>
    </xdr:from>
    <xdr:to>
      <xdr:col>4</xdr:col>
      <xdr:colOff>76200</xdr:colOff>
      <xdr:row>21</xdr:row>
      <xdr:rowOff>47625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2066925" y="5534025"/>
          <a:ext cx="76200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4</xdr:col>
      <xdr:colOff>361950</xdr:colOff>
      <xdr:row>5</xdr:row>
      <xdr:rowOff>19050</xdr:rowOff>
    </xdr:from>
    <xdr:to>
      <xdr:col>5</xdr:col>
      <xdr:colOff>600075</xdr:colOff>
      <xdr:row>10</xdr:row>
      <xdr:rowOff>104775</xdr:rowOff>
    </xdr:to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428875" y="1238250"/>
          <a:ext cx="990600" cy="1181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13</xdr:row>
      <xdr:rowOff>57150</xdr:rowOff>
    </xdr:from>
    <xdr:to>
      <xdr:col>6</xdr:col>
      <xdr:colOff>723900</xdr:colOff>
      <xdr:row>17</xdr:row>
      <xdr:rowOff>76200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485775" y="4371975"/>
          <a:ext cx="5019675" cy="838200"/>
          <a:chOff x="38100" y="5210175"/>
          <a:chExt cx="4962525" cy="698500"/>
        </a:xfrm>
      </xdr:grpSpPr>
      <xdr:sp macro="" textlink="">
        <xdr:nvSpPr>
          <xdr:cNvPr id="3" name="Text Box 1"/>
          <xdr:cNvSpPr txBox="1">
            <a:spLocks noChangeArrowheads="1"/>
          </xdr:cNvSpPr>
        </xdr:nvSpPr>
        <xdr:spPr bwMode="auto">
          <a:xfrm>
            <a:off x="38100" y="5210175"/>
            <a:ext cx="2476500" cy="69850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Sub-Divn:I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Larkano</a:t>
            </a:r>
          </a:p>
          <a:p>
            <a:pPr algn="ctr" rtl="0">
              <a:defRPr sz="1000"/>
            </a:pPr>
            <a:endParaRPr lang="en-US" sz="120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4" name="Rectangle 1"/>
          <xdr:cNvSpPr>
            <a:spLocks noChangeArrowheads="1"/>
          </xdr:cNvSpPr>
        </xdr:nvSpPr>
        <xdr:spPr bwMode="auto">
          <a:xfrm>
            <a:off x="3209925" y="5248275"/>
            <a:ext cx="1790700" cy="5651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Dvision-I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Larkano 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279</xdr:row>
      <xdr:rowOff>0</xdr:rowOff>
    </xdr:from>
    <xdr:to>
      <xdr:col>14</xdr:col>
      <xdr:colOff>257175</xdr:colOff>
      <xdr:row>284</xdr:row>
      <xdr:rowOff>104775</xdr:rowOff>
    </xdr:to>
    <xdr:grpSp>
      <xdr:nvGrpSpPr>
        <xdr:cNvPr id="138471" name="Group 1"/>
        <xdr:cNvGrpSpPr>
          <a:grpSpLocks/>
        </xdr:cNvGrpSpPr>
      </xdr:nvGrpSpPr>
      <xdr:grpSpPr bwMode="auto">
        <a:xfrm>
          <a:off x="276225" y="48729900"/>
          <a:ext cx="4953000" cy="914400"/>
          <a:chOff x="47625" y="5153025"/>
          <a:chExt cx="4953000" cy="914400"/>
        </a:xfrm>
      </xdr:grpSpPr>
      <xdr:sp macro="" textlink="">
        <xdr:nvSpPr>
          <xdr:cNvPr id="3" name="Text Box 1"/>
          <xdr:cNvSpPr txBox="1">
            <a:spLocks noChangeArrowheads="1"/>
          </xdr:cNvSpPr>
        </xdr:nvSpPr>
        <xdr:spPr bwMode="auto">
          <a:xfrm>
            <a:off x="47625" y="5153025"/>
            <a:ext cx="2481199" cy="8477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Sub-Divn:I</a:t>
            </a:r>
          </a:p>
          <a:p>
            <a:pPr algn="ctr" rtl="0">
              <a:defRPr sz="1000"/>
            </a:pPr>
            <a:r>
              <a:rPr lang="en-US" sz="11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Larkano</a:t>
            </a:r>
          </a:p>
          <a:p>
            <a:pPr algn="ctr" rtl="0">
              <a:defRPr sz="1000"/>
            </a:pPr>
            <a:endParaRPr lang="en-US" sz="1200" b="0" i="0" strike="noStrike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4" name="Rectangle 1"/>
          <xdr:cNvSpPr>
            <a:spLocks noChangeArrowheads="1"/>
          </xdr:cNvSpPr>
        </xdr:nvSpPr>
        <xdr:spPr bwMode="auto">
          <a:xfrm>
            <a:off x="3205515" y="5248275"/>
            <a:ext cx="1795110" cy="8191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Dvision-I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Larkano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122</xdr:row>
      <xdr:rowOff>0</xdr:rowOff>
    </xdr:from>
    <xdr:to>
      <xdr:col>15</xdr:col>
      <xdr:colOff>190500</xdr:colOff>
      <xdr:row>126</xdr:row>
      <xdr:rowOff>114300</xdr:rowOff>
    </xdr:to>
    <xdr:grpSp>
      <xdr:nvGrpSpPr>
        <xdr:cNvPr id="5" name="Group 1"/>
        <xdr:cNvGrpSpPr>
          <a:grpSpLocks/>
        </xdr:cNvGrpSpPr>
      </xdr:nvGrpSpPr>
      <xdr:grpSpPr bwMode="auto">
        <a:xfrm>
          <a:off x="514350" y="23879175"/>
          <a:ext cx="5057775" cy="914400"/>
          <a:chOff x="47625" y="5153025"/>
          <a:chExt cx="4953000" cy="914400"/>
        </a:xfrm>
      </xdr:grpSpPr>
      <xdr:sp macro="" textlink="">
        <xdr:nvSpPr>
          <xdr:cNvPr id="6" name="Text Box 1"/>
          <xdr:cNvSpPr txBox="1">
            <a:spLocks noChangeArrowheads="1"/>
          </xdr:cNvSpPr>
        </xdr:nvSpPr>
        <xdr:spPr bwMode="auto">
          <a:xfrm>
            <a:off x="47625" y="5153025"/>
            <a:ext cx="2481146" cy="8477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Sub-Divn:I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Larkano</a:t>
            </a:r>
          </a:p>
        </xdr:txBody>
      </xdr:sp>
      <xdr:sp macro="" textlink="">
        <xdr:nvSpPr>
          <xdr:cNvPr id="7" name="Rectangle 1"/>
          <xdr:cNvSpPr>
            <a:spLocks noChangeArrowheads="1"/>
          </xdr:cNvSpPr>
        </xdr:nvSpPr>
        <xdr:spPr bwMode="auto">
          <a:xfrm>
            <a:off x="3216430" y="5248275"/>
            <a:ext cx="1784195" cy="8191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Dvision-I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Larkano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121</xdr:row>
      <xdr:rowOff>0</xdr:rowOff>
    </xdr:from>
    <xdr:to>
      <xdr:col>15</xdr:col>
      <xdr:colOff>190500</xdr:colOff>
      <xdr:row>125</xdr:row>
      <xdr:rowOff>114300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514350" y="23602950"/>
          <a:ext cx="4972050" cy="914400"/>
          <a:chOff x="47625" y="5153025"/>
          <a:chExt cx="4953000" cy="914400"/>
        </a:xfrm>
      </xdr:grpSpPr>
      <xdr:sp macro="" textlink="">
        <xdr:nvSpPr>
          <xdr:cNvPr id="3" name="Text Box 1"/>
          <xdr:cNvSpPr txBox="1">
            <a:spLocks noChangeArrowheads="1"/>
          </xdr:cNvSpPr>
        </xdr:nvSpPr>
        <xdr:spPr bwMode="auto">
          <a:xfrm>
            <a:off x="47625" y="5153025"/>
            <a:ext cx="2481146" cy="847725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Sub-Divn:I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Larkano</a:t>
            </a:r>
          </a:p>
        </xdr:txBody>
      </xdr:sp>
      <xdr:sp macro="" textlink="">
        <xdr:nvSpPr>
          <xdr:cNvPr id="4" name="Rectangle 1"/>
          <xdr:cNvSpPr>
            <a:spLocks noChangeArrowheads="1"/>
          </xdr:cNvSpPr>
        </xdr:nvSpPr>
        <xdr:spPr bwMode="auto">
          <a:xfrm>
            <a:off x="3216430" y="5248275"/>
            <a:ext cx="1784195" cy="8191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Dvision-I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Larkano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67</xdr:row>
      <xdr:rowOff>190497</xdr:rowOff>
    </xdr:from>
    <xdr:to>
      <xdr:col>13</xdr:col>
      <xdr:colOff>190500</xdr:colOff>
      <xdr:row>72</xdr:row>
      <xdr:rowOff>76199</xdr:rowOff>
    </xdr:to>
    <xdr:grpSp>
      <xdr:nvGrpSpPr>
        <xdr:cNvPr id="5" name="Group 1"/>
        <xdr:cNvGrpSpPr>
          <a:grpSpLocks/>
        </xdr:cNvGrpSpPr>
      </xdr:nvGrpSpPr>
      <xdr:grpSpPr bwMode="auto">
        <a:xfrm>
          <a:off x="447675" y="13830297"/>
          <a:ext cx="5105400" cy="857252"/>
          <a:chOff x="47625" y="5153025"/>
          <a:chExt cx="4953000" cy="875492"/>
        </a:xfrm>
      </xdr:grpSpPr>
      <xdr:sp macro="" textlink="">
        <xdr:nvSpPr>
          <xdr:cNvPr id="6" name="Text Box 1"/>
          <xdr:cNvSpPr txBox="1">
            <a:spLocks noChangeArrowheads="1"/>
          </xdr:cNvSpPr>
        </xdr:nvSpPr>
        <xdr:spPr bwMode="auto">
          <a:xfrm>
            <a:off x="47625" y="5153025"/>
            <a:ext cx="2481146" cy="87549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Sub-Divn:I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Larkano</a:t>
            </a:r>
          </a:p>
        </xdr:txBody>
      </xdr:sp>
      <xdr:sp macro="" textlink="">
        <xdr:nvSpPr>
          <xdr:cNvPr id="7" name="Rectangle 1"/>
          <xdr:cNvSpPr>
            <a:spLocks noChangeArrowheads="1"/>
          </xdr:cNvSpPr>
        </xdr:nvSpPr>
        <xdr:spPr bwMode="auto">
          <a:xfrm>
            <a:off x="3216430" y="5248277"/>
            <a:ext cx="1784195" cy="73160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Dvision-I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Larkano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95</xdr:row>
      <xdr:rowOff>0</xdr:rowOff>
    </xdr:from>
    <xdr:to>
      <xdr:col>15</xdr:col>
      <xdr:colOff>190500</xdr:colOff>
      <xdr:row>99</xdr:row>
      <xdr:rowOff>171450</xdr:rowOff>
    </xdr:to>
    <xdr:grpSp>
      <xdr:nvGrpSpPr>
        <xdr:cNvPr id="2" name="Group 1"/>
        <xdr:cNvGrpSpPr>
          <a:grpSpLocks/>
        </xdr:cNvGrpSpPr>
      </xdr:nvGrpSpPr>
      <xdr:grpSpPr bwMode="auto">
        <a:xfrm>
          <a:off x="504825" y="16640175"/>
          <a:ext cx="5314950" cy="971550"/>
          <a:chOff x="47625" y="5153025"/>
          <a:chExt cx="4953000" cy="971550"/>
        </a:xfrm>
      </xdr:grpSpPr>
      <xdr:sp macro="" textlink="">
        <xdr:nvSpPr>
          <xdr:cNvPr id="3" name="Text Box 1"/>
          <xdr:cNvSpPr txBox="1">
            <a:spLocks noChangeArrowheads="1"/>
          </xdr:cNvSpPr>
        </xdr:nvSpPr>
        <xdr:spPr bwMode="auto">
          <a:xfrm>
            <a:off x="47625" y="5153025"/>
            <a:ext cx="2481146" cy="9715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defRPr sz="1000"/>
            </a:pPr>
            <a:endParaRPr lang="en-US" sz="1100" b="0" i="1" strike="noStrike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Assistant Engineer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Public Health Engg: Sub-Divn:I</a:t>
            </a:r>
          </a:p>
          <a:p>
            <a:pPr algn="ctr" rtl="0">
              <a:defRPr sz="1000"/>
            </a:pPr>
            <a:r>
              <a:rPr lang="en-US" sz="1200" b="0" i="0" strike="noStrike">
                <a:solidFill>
                  <a:srgbClr val="000000"/>
                </a:solidFill>
                <a:latin typeface="Times New Roman"/>
                <a:cs typeface="Times New Roman"/>
              </a:rPr>
              <a:t>Larkano</a:t>
            </a:r>
          </a:p>
        </xdr:txBody>
      </xdr:sp>
      <xdr:sp macro="" textlink="">
        <xdr:nvSpPr>
          <xdr:cNvPr id="4" name="Rectangle 1"/>
          <xdr:cNvSpPr>
            <a:spLocks noChangeArrowheads="1"/>
          </xdr:cNvSpPr>
        </xdr:nvSpPr>
        <xdr:spPr bwMode="auto">
          <a:xfrm>
            <a:off x="3216430" y="5248275"/>
            <a:ext cx="1784195" cy="81915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Executive Engineer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Public Health Engg: Dvision-I  </a:t>
            </a:r>
          </a:p>
          <a:p>
            <a:pPr algn="ctr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Larkano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314325</xdr:colOff>
      <xdr:row>182</xdr:row>
      <xdr:rowOff>0</xdr:rowOff>
    </xdr:from>
    <xdr:to>
      <xdr:col>14</xdr:col>
      <xdr:colOff>419100</xdr:colOff>
      <xdr:row>183</xdr:row>
      <xdr:rowOff>0</xdr:rowOff>
    </xdr:to>
    <xdr:sp macro="" textlink="">
      <xdr:nvSpPr>
        <xdr:cNvPr id="3" name="Rectangle 3"/>
        <xdr:cNvSpPr>
          <a:spLocks noChangeArrowheads="1"/>
        </xdr:cNvSpPr>
      </xdr:nvSpPr>
      <xdr:spPr bwMode="auto">
        <a:xfrm>
          <a:off x="3838575" y="19516725"/>
          <a:ext cx="245745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</xdr:colOff>
      <xdr:row>21</xdr:row>
      <xdr:rowOff>560</xdr:rowOff>
    </xdr:from>
    <xdr:to>
      <xdr:col>5</xdr:col>
      <xdr:colOff>447675</xdr:colOff>
      <xdr:row>21</xdr:row>
      <xdr:rowOff>560</xdr:rowOff>
    </xdr:to>
    <xdr:sp macro="" textlink="">
      <xdr:nvSpPr>
        <xdr:cNvPr id="2" name="Rectangle 3"/>
        <xdr:cNvSpPr>
          <a:spLocks noChangeArrowheads="1"/>
        </xdr:cNvSpPr>
      </xdr:nvSpPr>
      <xdr:spPr bwMode="auto">
        <a:xfrm>
          <a:off x="523875" y="5410760"/>
          <a:ext cx="26384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n-US" sz="1000" b="0" i="1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US" sz="1000" b="0" i="1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STIMATES%20(All)\DS%20Larkano%202015\DWE%20Larkano%20(Qureshi%20Sb)\DS%20Larkana%20(Final)\Drainage%20scheme%20Larkana%20(Fair)\Disposal%20wor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OFFICE%20WORK/Estimates/District%20ADP%20Funds/2015-16/Aitbar%20Khan%20Dahan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OFFICE%20WORK/Estimates/District%20ADP%20Funds/2016-17/December%202016/Golimar%20Muhall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ESTIMATES%20(All)\DS%20Larkano%202015\DWE%20Larkano%20(Qureshi%20Sb)\DS%20Larkana%20(Final)\Drainage%20scheme%20Larkana%20(Fair)\Pumping%20Machinery%20KWPZ%20%20R.A%20%20&amp;%20%20DWE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OFFICE%20WORK/Estimates/District%20ADP%20Funds/2016-17/December%202016/Abdul%20Rehman%20Shaikh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ace sheet2"/>
      <sheetName val="Sheet2"/>
      <sheetName val="Sheet1 (2)"/>
      <sheetName val="Sheet1"/>
      <sheetName val="Sheet4"/>
      <sheetName val="schedule -B"/>
      <sheetName val="Cover "/>
      <sheetName val="FACE SHEET"/>
      <sheetName val="ABSTRACT"/>
      <sheetName val="Design"/>
      <sheetName val="C.T"/>
      <sheetName val="M.stat"/>
      <sheetName val="P.House"/>
      <sheetName val="Mat-P"/>
      <sheetName val="S.Quarter"/>
      <sheetName val="S.Mat"/>
      <sheetName val="C.Wall"/>
      <sheetName val="M.State"/>
      <sheetName val="P-Pipe"/>
      <sheetName val="lead chart"/>
      <sheetName val="Scr chamber"/>
      <sheetName val="S.Mat (2)"/>
      <sheetName val="RA FC pip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5">
          <cell r="E5" t="str">
            <v>PROVINCIAL GOVERNMENT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over "/>
      <sheetName val="FACE SHEET"/>
      <sheetName val="Abstract"/>
      <sheetName val="Drains "/>
      <sheetName val="Cartage-I"/>
      <sheetName val="Material"/>
      <sheetName val="Block"/>
      <sheetName val="Cartage-2"/>
      <sheetName val="Material-2"/>
      <sheetName val="BOQ"/>
      <sheetName val="Lead chart"/>
      <sheetName val="Miles"/>
    </sheetNames>
    <sheetDataSet>
      <sheetData sheetId="0"/>
      <sheetData sheetId="1">
        <row r="9">
          <cell r="E9" t="str">
            <v>Detailed Working estimate for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over "/>
      <sheetName val="FACE SHEET"/>
      <sheetName val="Abstract"/>
      <sheetName val="Drains "/>
      <sheetName val="Cartage-I"/>
      <sheetName val="Material"/>
      <sheetName val="Block"/>
      <sheetName val="Cartage-2"/>
      <sheetName val="Material-2"/>
      <sheetName val="BOQ"/>
      <sheetName val="Lead chart"/>
      <sheetName val="Miles"/>
    </sheetNames>
    <sheetDataSet>
      <sheetData sheetId="0"/>
      <sheetData sheetId="1"/>
      <sheetData sheetId="2">
        <row r="15">
          <cell r="I15" t="str">
            <v>100,00,000/=</v>
          </cell>
        </row>
        <row r="19">
          <cell r="F19" t="str">
            <v>Executive Engineer.</v>
          </cell>
        </row>
        <row r="21">
          <cell r="F21" t="str">
            <v>Larkano</v>
          </cell>
        </row>
      </sheetData>
      <sheetData sheetId="3"/>
      <sheetData sheetId="4"/>
      <sheetData sheetId="5">
        <row r="13">
          <cell r="H13">
            <v>0</v>
          </cell>
        </row>
      </sheetData>
      <sheetData sheetId="6"/>
      <sheetData sheetId="7"/>
      <sheetData sheetId="8"/>
      <sheetData sheetId="9"/>
      <sheetData sheetId="10">
        <row r="9">
          <cell r="F9">
            <v>204</v>
          </cell>
        </row>
        <row r="13">
          <cell r="J13">
            <v>7218.84</v>
          </cell>
        </row>
        <row r="15">
          <cell r="F15">
            <v>81</v>
          </cell>
        </row>
        <row r="19">
          <cell r="J19">
            <v>3213.96</v>
          </cell>
        </row>
        <row r="21">
          <cell r="F21">
            <v>76</v>
          </cell>
        </row>
        <row r="25">
          <cell r="J25">
            <v>3051.1600000000003</v>
          </cell>
        </row>
        <row r="27">
          <cell r="F27">
            <v>6</v>
          </cell>
        </row>
        <row r="31">
          <cell r="J31">
            <v>617.54</v>
          </cell>
        </row>
        <row r="33">
          <cell r="F33">
            <v>202</v>
          </cell>
        </row>
        <row r="37">
          <cell r="J37">
            <v>127.53</v>
          </cell>
        </row>
        <row r="38">
          <cell r="F38">
            <v>58</v>
          </cell>
        </row>
        <row r="43">
          <cell r="J43">
            <v>24.6508</v>
          </cell>
        </row>
      </sheetData>
      <sheetData sheetId="1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 P.M (20 BHP)"/>
      <sheetName val="RA  ( 20 BHP)"/>
      <sheetName val="P.M (40 BHP)"/>
      <sheetName val="RA (40 BHP)"/>
      <sheetName val="P.M (30 BHP)"/>
      <sheetName val="RA 30 BHP)"/>
      <sheetName val="P.M (80 BHP) "/>
      <sheetName val="RA  (80 BHP) "/>
      <sheetName val="P.M (60 BHP) "/>
      <sheetName val="RA  (60 BHP)"/>
      <sheetName val="P.M (50 BHP) "/>
      <sheetName val="RA  (50 BHP) "/>
      <sheetName val="Inter connection "/>
      <sheetName val="Estimate Generator"/>
      <sheetName val="RA Generator 50 KVA"/>
      <sheetName val="RA Generator 80 KVA"/>
      <sheetName val="RA Generator 100 KVA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9">
          <cell r="I109">
            <v>1316300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Cover "/>
      <sheetName val="FACE SHEET"/>
      <sheetName val="Abstract"/>
      <sheetName val="Drains "/>
      <sheetName val="Cartage-I"/>
      <sheetName val="Material"/>
      <sheetName val="Block"/>
      <sheetName val="Cartage-2"/>
      <sheetName val="Material-2"/>
      <sheetName val="BOQ"/>
      <sheetName val="Lead chart"/>
      <sheetName val="Miles"/>
    </sheetNames>
    <sheetDataSet>
      <sheetData sheetId="0" refreshError="1"/>
      <sheetData sheetId="1">
        <row r="9">
          <cell r="E9" t="str">
            <v>Detailed Working estimate for</v>
          </cell>
        </row>
      </sheetData>
      <sheetData sheetId="2" refreshError="1"/>
      <sheetData sheetId="3">
        <row r="2">
          <cell r="A2" t="str">
            <v>Construction of C.C Blocks in Village Abdul Rahman Shaikh UC- Vikia Sangi Taluka Larkano   (under District ADP New schemes 2016-17)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6"/>
  <sheetViews>
    <sheetView topLeftCell="A34" workbookViewId="0">
      <selection activeCell="D15" sqref="D15"/>
    </sheetView>
  </sheetViews>
  <sheetFormatPr defaultRowHeight="12.75"/>
  <cols>
    <col min="5" max="5" width="11.28515625" customWidth="1"/>
    <col min="8" max="8" width="4.42578125" customWidth="1"/>
    <col min="10" max="10" width="12.42578125" customWidth="1"/>
  </cols>
  <sheetData>
    <row r="1" spans="1:10" ht="13.5" thickTop="1">
      <c r="A1" s="766"/>
      <c r="B1" s="767"/>
      <c r="C1" s="767"/>
      <c r="D1" s="767"/>
      <c r="E1" s="767"/>
      <c r="F1" s="767"/>
      <c r="G1" s="767"/>
      <c r="H1" s="767"/>
      <c r="I1" s="767"/>
      <c r="J1" s="768"/>
    </row>
    <row r="2" spans="1:10">
      <c r="A2" s="769"/>
      <c r="B2" s="18"/>
      <c r="C2" s="18"/>
      <c r="D2" s="18"/>
      <c r="E2" s="18"/>
      <c r="F2" s="18"/>
      <c r="G2" s="18"/>
      <c r="H2" s="18"/>
      <c r="I2" s="18"/>
      <c r="J2" s="770"/>
    </row>
    <row r="3" spans="1:10" ht="24.75" customHeight="1">
      <c r="A3" s="894" t="s">
        <v>708</v>
      </c>
      <c r="B3" s="895"/>
      <c r="C3" s="895"/>
      <c r="D3" s="895"/>
      <c r="E3" s="895"/>
      <c r="F3" s="895"/>
      <c r="G3" s="895"/>
      <c r="H3" s="895"/>
      <c r="I3" s="895"/>
      <c r="J3" s="896"/>
    </row>
    <row r="4" spans="1:10" ht="19.5">
      <c r="A4" s="894" t="s">
        <v>711</v>
      </c>
      <c r="B4" s="895"/>
      <c r="C4" s="895"/>
      <c r="D4" s="895"/>
      <c r="E4" s="895"/>
      <c r="F4" s="895"/>
      <c r="G4" s="895"/>
      <c r="H4" s="895"/>
      <c r="I4" s="895"/>
      <c r="J4" s="896"/>
    </row>
    <row r="5" spans="1:10" ht="18">
      <c r="A5" s="897"/>
      <c r="B5" s="898"/>
      <c r="C5" s="898"/>
      <c r="D5" s="898"/>
      <c r="E5" s="898"/>
      <c r="F5" s="898"/>
      <c r="G5" s="898"/>
      <c r="H5" s="898"/>
      <c r="I5" s="898"/>
      <c r="J5" s="899"/>
    </row>
    <row r="6" spans="1:10">
      <c r="A6" s="769"/>
      <c r="B6" s="18"/>
      <c r="C6" s="18"/>
      <c r="D6" s="18"/>
      <c r="E6" s="18"/>
      <c r="F6" s="18"/>
      <c r="G6" s="18"/>
      <c r="H6" s="18"/>
      <c r="I6" s="18"/>
      <c r="J6" s="770"/>
    </row>
    <row r="7" spans="1:10">
      <c r="A7" s="769"/>
      <c r="B7" s="18"/>
      <c r="C7" s="18"/>
      <c r="D7" s="18"/>
      <c r="E7" s="18"/>
      <c r="F7" s="18"/>
      <c r="G7" s="18"/>
      <c r="H7" s="18"/>
      <c r="I7" s="18"/>
      <c r="J7" s="770"/>
    </row>
    <row r="8" spans="1:10">
      <c r="A8" s="769"/>
      <c r="B8" s="18"/>
      <c r="C8" s="18"/>
      <c r="D8" s="18"/>
      <c r="E8" s="18"/>
      <c r="F8" s="18"/>
      <c r="G8" s="18"/>
      <c r="H8" s="18"/>
      <c r="I8" s="18"/>
      <c r="J8" s="770"/>
    </row>
    <row r="9" spans="1:10">
      <c r="A9" s="769"/>
      <c r="B9" s="18"/>
      <c r="C9" s="18"/>
      <c r="D9" s="18"/>
      <c r="E9" s="18"/>
      <c r="F9" s="18"/>
      <c r="G9" s="18"/>
      <c r="H9" s="18"/>
      <c r="I9" s="18"/>
      <c r="J9" s="770"/>
    </row>
    <row r="10" spans="1:10">
      <c r="A10" s="769"/>
      <c r="B10" s="18"/>
      <c r="C10" s="18"/>
      <c r="D10" s="18"/>
      <c r="E10" s="18"/>
      <c r="F10" s="18"/>
      <c r="G10" s="18"/>
      <c r="H10" s="18"/>
      <c r="I10" s="18"/>
      <c r="J10" s="770"/>
    </row>
    <row r="11" spans="1:10">
      <c r="A11" s="769"/>
      <c r="B11" s="18"/>
      <c r="C11" s="18"/>
      <c r="D11" s="18"/>
      <c r="E11" s="18"/>
      <c r="F11" s="18"/>
      <c r="G11" s="18"/>
      <c r="H11" s="18"/>
      <c r="I11" s="18"/>
      <c r="J11" s="770"/>
    </row>
    <row r="12" spans="1:10">
      <c r="A12" s="769"/>
      <c r="B12" s="18"/>
      <c r="C12" s="18"/>
      <c r="D12" s="18"/>
      <c r="E12" s="18"/>
      <c r="F12" s="18"/>
      <c r="G12" s="18"/>
      <c r="H12" s="18"/>
      <c r="I12" s="18"/>
      <c r="J12" s="770"/>
    </row>
    <row r="13" spans="1:10">
      <c r="A13" s="769"/>
      <c r="B13" s="18"/>
      <c r="C13" s="18"/>
      <c r="D13" s="18"/>
      <c r="E13" s="18"/>
      <c r="F13" s="18"/>
      <c r="G13" s="18"/>
      <c r="H13" s="18"/>
      <c r="I13" s="18"/>
      <c r="J13" s="770"/>
    </row>
    <row r="14" spans="1:10">
      <c r="A14" s="769"/>
      <c r="B14" s="18"/>
      <c r="C14" s="18"/>
      <c r="D14" s="18"/>
      <c r="E14" s="18"/>
      <c r="F14" s="18"/>
      <c r="G14" s="18"/>
      <c r="H14" s="18"/>
      <c r="I14" s="18"/>
      <c r="J14" s="770"/>
    </row>
    <row r="15" spans="1:10">
      <c r="A15" s="769"/>
      <c r="B15" s="18"/>
      <c r="C15" s="18"/>
      <c r="D15" s="18"/>
      <c r="E15" s="18"/>
      <c r="F15" s="18"/>
      <c r="G15" s="18"/>
      <c r="H15" s="18"/>
      <c r="I15" s="18"/>
      <c r="J15" s="770"/>
    </row>
    <row r="16" spans="1:10">
      <c r="A16" s="769"/>
      <c r="B16" s="18"/>
      <c r="C16" s="18"/>
      <c r="D16" s="18"/>
      <c r="E16" s="18"/>
      <c r="F16" s="18"/>
      <c r="G16" s="18"/>
      <c r="H16" s="18"/>
      <c r="I16" s="18"/>
      <c r="J16" s="770"/>
    </row>
    <row r="17" spans="1:10">
      <c r="A17" s="769"/>
      <c r="B17" s="18"/>
      <c r="C17" s="18"/>
      <c r="D17" s="18"/>
      <c r="E17" s="18"/>
      <c r="F17" s="18"/>
      <c r="G17" s="18"/>
      <c r="H17" s="18"/>
      <c r="I17" s="18"/>
      <c r="J17" s="770"/>
    </row>
    <row r="18" spans="1:10">
      <c r="A18" s="769"/>
      <c r="B18" s="18"/>
      <c r="C18" s="18"/>
      <c r="D18" s="18"/>
      <c r="E18" s="18"/>
      <c r="F18" s="18"/>
      <c r="G18" s="18"/>
      <c r="H18" s="18"/>
      <c r="I18" s="18"/>
      <c r="J18" s="770"/>
    </row>
    <row r="19" spans="1:10" ht="37.5" customHeight="1">
      <c r="A19" s="900" t="str">
        <f>'[1]FACE SHEET'!E5</f>
        <v>PROVINCIAL GOVERNMENT</v>
      </c>
      <c r="B19" s="901"/>
      <c r="C19" s="901"/>
      <c r="D19" s="901"/>
      <c r="E19" s="901"/>
      <c r="F19" s="901"/>
      <c r="G19" s="901"/>
      <c r="H19" s="901"/>
      <c r="I19" s="901"/>
      <c r="J19" s="902"/>
    </row>
    <row r="20" spans="1:10" ht="15">
      <c r="A20" s="771"/>
      <c r="B20" s="772"/>
      <c r="C20" s="773"/>
      <c r="D20" s="773"/>
      <c r="E20" s="773"/>
      <c r="F20" s="773"/>
      <c r="G20" s="773"/>
      <c r="H20" s="773"/>
      <c r="I20" s="773"/>
      <c r="J20" s="774"/>
    </row>
    <row r="21" spans="1:10" ht="15">
      <c r="A21" s="771"/>
      <c r="B21" s="772"/>
      <c r="C21" s="773"/>
      <c r="D21" s="773"/>
      <c r="E21" s="773"/>
      <c r="F21" s="773"/>
      <c r="G21" s="773"/>
      <c r="H21" s="773"/>
      <c r="I21" s="773"/>
      <c r="J21" s="774"/>
    </row>
    <row r="22" spans="1:10" ht="15">
      <c r="A22" s="771"/>
      <c r="B22" s="772"/>
      <c r="C22" s="773"/>
      <c r="D22" s="773"/>
      <c r="E22" s="773"/>
      <c r="F22" s="773"/>
      <c r="G22" s="773"/>
      <c r="H22" s="773"/>
      <c r="I22" s="773"/>
      <c r="J22" s="774"/>
    </row>
    <row r="23" spans="1:10" ht="39" customHeight="1">
      <c r="A23" s="903"/>
      <c r="B23" s="904"/>
      <c r="C23" s="904"/>
      <c r="D23" s="904"/>
      <c r="E23" s="904"/>
      <c r="F23" s="904"/>
      <c r="G23" s="904"/>
      <c r="H23" s="904"/>
      <c r="I23" s="904"/>
      <c r="J23" s="905"/>
    </row>
    <row r="24" spans="1:10" ht="18.75" thickBot="1">
      <c r="A24" s="775"/>
      <c r="B24" s="776"/>
      <c r="C24" s="776"/>
      <c r="D24" s="776"/>
      <c r="E24" s="776"/>
      <c r="F24" s="776"/>
      <c r="G24" s="776"/>
      <c r="H24" s="776"/>
      <c r="I24" s="776"/>
      <c r="J24" s="777"/>
    </row>
    <row r="25" spans="1:10" ht="18.75" thickTop="1">
      <c r="A25" s="883" t="s">
        <v>710</v>
      </c>
      <c r="B25" s="884"/>
      <c r="C25" s="884"/>
      <c r="D25" s="884"/>
      <c r="E25" s="884"/>
      <c r="F25" s="884"/>
      <c r="G25" s="884"/>
      <c r="H25" s="884"/>
      <c r="I25" s="884"/>
      <c r="J25" s="885"/>
    </row>
    <row r="26" spans="1:10" ht="79.5" customHeight="1" thickBot="1">
      <c r="A26" s="886" t="s">
        <v>337</v>
      </c>
      <c r="B26" s="887"/>
      <c r="C26" s="887"/>
      <c r="D26" s="887"/>
      <c r="E26" s="887"/>
      <c r="F26" s="887"/>
      <c r="G26" s="887"/>
      <c r="H26" s="887"/>
      <c r="I26" s="887"/>
      <c r="J26" s="888"/>
    </row>
    <row r="27" spans="1:10" ht="13.5" thickTop="1">
      <c r="A27" s="769"/>
      <c r="B27" s="18"/>
      <c r="C27" s="18"/>
      <c r="D27" s="18"/>
      <c r="E27" s="18"/>
      <c r="F27" s="18"/>
      <c r="G27" s="18"/>
      <c r="H27" s="18"/>
      <c r="I27" s="18"/>
      <c r="J27" s="770"/>
    </row>
    <row r="28" spans="1:10">
      <c r="A28" s="769"/>
      <c r="B28" s="18"/>
      <c r="C28" s="18"/>
      <c r="D28" s="18"/>
      <c r="E28" s="18"/>
      <c r="F28" s="18"/>
      <c r="G28" s="18"/>
      <c r="H28" s="18"/>
      <c r="I28" s="18"/>
      <c r="J28" s="770"/>
    </row>
    <row r="29" spans="1:10">
      <c r="A29" s="769"/>
      <c r="B29" s="18"/>
      <c r="C29" s="18"/>
      <c r="D29" s="18"/>
      <c r="E29" s="18"/>
      <c r="F29" s="18"/>
      <c r="G29" s="18"/>
      <c r="H29" s="18"/>
      <c r="I29" s="18"/>
      <c r="J29" s="770"/>
    </row>
    <row r="30" spans="1:10">
      <c r="A30" s="769"/>
      <c r="B30" s="18"/>
      <c r="C30" s="18"/>
      <c r="D30" s="18"/>
      <c r="E30" s="18"/>
      <c r="F30" s="18"/>
      <c r="G30" s="18"/>
      <c r="H30" s="18"/>
      <c r="I30" s="18"/>
      <c r="J30" s="770"/>
    </row>
    <row r="31" spans="1:10">
      <c r="A31" s="769"/>
      <c r="B31" s="18"/>
      <c r="C31" s="18"/>
      <c r="D31" s="18"/>
      <c r="E31" s="18"/>
      <c r="F31" s="18"/>
      <c r="G31" s="18"/>
      <c r="H31" s="18"/>
      <c r="I31" s="18"/>
      <c r="J31" s="770"/>
    </row>
    <row r="32" spans="1:10" ht="15.75">
      <c r="A32" s="769"/>
      <c r="B32" s="18"/>
      <c r="C32" s="18"/>
      <c r="D32" s="18"/>
      <c r="E32" s="18"/>
      <c r="F32" s="782" t="s">
        <v>709</v>
      </c>
      <c r="G32" s="778"/>
      <c r="H32" s="782" t="s">
        <v>5</v>
      </c>
      <c r="I32" s="892">
        <v>1245.2550000000001</v>
      </c>
      <c r="J32" s="893"/>
    </row>
    <row r="33" spans="1:10">
      <c r="A33" s="769"/>
      <c r="B33" s="18"/>
      <c r="C33" s="18"/>
      <c r="D33" s="18"/>
      <c r="E33" s="18"/>
      <c r="F33" s="18"/>
      <c r="G33" s="18"/>
      <c r="H33" s="18"/>
      <c r="I33" s="18"/>
      <c r="J33" s="770"/>
    </row>
    <row r="34" spans="1:10">
      <c r="A34" s="769"/>
      <c r="B34" s="18"/>
      <c r="C34" s="18"/>
      <c r="D34" s="18"/>
      <c r="E34" s="18"/>
      <c r="F34" s="18"/>
      <c r="G34" s="18"/>
      <c r="H34" s="18"/>
      <c r="I34" s="18"/>
      <c r="J34" s="770"/>
    </row>
    <row r="35" spans="1:10">
      <c r="A35" s="769"/>
      <c r="B35" s="18"/>
      <c r="C35" s="18"/>
      <c r="D35" s="18"/>
      <c r="E35" s="18"/>
      <c r="F35" s="18"/>
      <c r="G35" s="18"/>
      <c r="H35" s="18"/>
      <c r="I35" s="18"/>
      <c r="J35" s="770"/>
    </row>
    <row r="36" spans="1:10">
      <c r="A36" s="769"/>
      <c r="B36" s="18"/>
      <c r="C36" s="18"/>
      <c r="D36" s="18"/>
      <c r="E36" s="18"/>
      <c r="F36" s="18"/>
      <c r="G36" s="18"/>
      <c r="H36" s="18"/>
      <c r="I36" s="18"/>
      <c r="J36" s="770"/>
    </row>
    <row r="37" spans="1:10">
      <c r="A37" s="769"/>
      <c r="B37" s="18"/>
      <c r="C37" s="18"/>
      <c r="D37" s="18"/>
      <c r="E37" s="18"/>
      <c r="F37" s="18"/>
      <c r="G37" s="18"/>
      <c r="H37" s="18"/>
      <c r="I37" s="18"/>
      <c r="J37" s="770"/>
    </row>
    <row r="38" spans="1:10">
      <c r="A38" s="769"/>
      <c r="B38" s="18"/>
      <c r="C38" s="18"/>
      <c r="D38" s="18"/>
      <c r="E38" s="18"/>
      <c r="F38" s="18"/>
      <c r="G38" s="18"/>
      <c r="H38" s="18"/>
      <c r="I38" s="18"/>
      <c r="J38" s="770"/>
    </row>
    <row r="39" spans="1:10">
      <c r="A39" s="769"/>
      <c r="B39" s="18"/>
      <c r="C39" s="18"/>
      <c r="D39" s="18"/>
      <c r="E39" s="18"/>
      <c r="F39" s="18"/>
      <c r="G39" s="18"/>
      <c r="H39" s="18"/>
      <c r="I39" s="18"/>
      <c r="J39" s="770"/>
    </row>
    <row r="40" spans="1:10">
      <c r="A40" s="769"/>
      <c r="B40" s="18"/>
      <c r="C40" s="18"/>
      <c r="D40" s="18"/>
      <c r="E40" s="18"/>
      <c r="F40" s="18"/>
      <c r="G40" s="18"/>
      <c r="H40" s="18"/>
      <c r="I40" s="18"/>
      <c r="J40" s="770"/>
    </row>
    <row r="41" spans="1:10" ht="15.75">
      <c r="A41" s="889" t="s">
        <v>712</v>
      </c>
      <c r="B41" s="890"/>
      <c r="C41" s="890"/>
      <c r="D41" s="890"/>
      <c r="E41" s="890"/>
      <c r="F41" s="890"/>
      <c r="G41" s="890"/>
      <c r="H41" s="890"/>
      <c r="I41" s="890"/>
      <c r="J41" s="891"/>
    </row>
    <row r="42" spans="1:10" ht="15.75">
      <c r="A42" s="889" t="s">
        <v>713</v>
      </c>
      <c r="B42" s="890"/>
      <c r="C42" s="890"/>
      <c r="D42" s="890"/>
      <c r="E42" s="890"/>
      <c r="F42" s="890"/>
      <c r="G42" s="890"/>
      <c r="H42" s="890"/>
      <c r="I42" s="890"/>
      <c r="J42" s="891"/>
    </row>
    <row r="43" spans="1:10">
      <c r="A43" s="769"/>
      <c r="B43" s="18"/>
      <c r="C43" s="18"/>
      <c r="D43" s="18"/>
      <c r="E43" s="18"/>
      <c r="F43" s="18"/>
      <c r="G43" s="18"/>
      <c r="H43" s="18"/>
      <c r="I43" s="18"/>
      <c r="J43" s="770"/>
    </row>
    <row r="44" spans="1:10">
      <c r="A44" s="769"/>
      <c r="B44" s="18"/>
      <c r="C44" s="18"/>
      <c r="D44" s="18"/>
      <c r="E44" s="18"/>
      <c r="F44" s="18"/>
      <c r="G44" s="18"/>
      <c r="H44" s="18"/>
      <c r="I44" s="18"/>
      <c r="J44" s="770"/>
    </row>
    <row r="45" spans="1:10" ht="13.5" thickBot="1">
      <c r="A45" s="779"/>
      <c r="B45" s="780"/>
      <c r="C45" s="780"/>
      <c r="D45" s="780"/>
      <c r="E45" s="780"/>
      <c r="F45" s="780"/>
      <c r="G45" s="780"/>
      <c r="H45" s="780"/>
      <c r="I45" s="780"/>
      <c r="J45" s="781"/>
    </row>
    <row r="46" spans="1:10" ht="13.5" thickTop="1"/>
  </sheetData>
  <mergeCells count="10">
    <mergeCell ref="A3:J3"/>
    <mergeCell ref="A4:J4"/>
    <mergeCell ref="A5:J5"/>
    <mergeCell ref="A19:J19"/>
    <mergeCell ref="A23:J23"/>
    <mergeCell ref="A25:J25"/>
    <mergeCell ref="A26:J26"/>
    <mergeCell ref="A41:J41"/>
    <mergeCell ref="A42:J42"/>
    <mergeCell ref="I32:J32"/>
  </mergeCells>
  <pageMargins left="0.94" right="0.23" top="0.83" bottom="0.19" header="0.3" footer="0.3"/>
  <pageSetup paperSize="9" orientation="portrait" horizontalDpi="300" verticalDpi="3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FF0000"/>
  </sheetPr>
  <dimension ref="A1:Q177"/>
  <sheetViews>
    <sheetView tabSelected="1" topLeftCell="A162" workbookViewId="0">
      <selection activeCell="A142" sqref="A142:O177"/>
    </sheetView>
  </sheetViews>
  <sheetFormatPr defaultRowHeight="16.5"/>
  <cols>
    <col min="1" max="1" width="4.5703125" style="384" customWidth="1"/>
    <col min="2" max="2" width="11.85546875" style="384" customWidth="1"/>
    <col min="3" max="3" width="4.28515625" style="384" customWidth="1"/>
    <col min="4" max="4" width="5.140625" style="384" customWidth="1"/>
    <col min="5" max="5" width="7.5703125" style="384" customWidth="1"/>
    <col min="6" max="6" width="3.140625" style="384" customWidth="1"/>
    <col min="7" max="7" width="6" style="384" customWidth="1"/>
    <col min="8" max="8" width="3.42578125" style="384" customWidth="1"/>
    <col min="9" max="9" width="8" style="384" customWidth="1"/>
    <col min="10" max="10" width="3.5703125" style="384" customWidth="1"/>
    <col min="11" max="11" width="8.140625" style="384" customWidth="1"/>
    <col min="12" max="12" width="9.85546875" style="384" customWidth="1"/>
    <col min="13" max="13" width="7.5703125" style="384" customWidth="1"/>
    <col min="14" max="14" width="3.140625" style="384" customWidth="1"/>
    <col min="15" max="15" width="9.85546875" style="408" customWidth="1"/>
    <col min="16" max="16384" width="9.140625" style="384"/>
  </cols>
  <sheetData>
    <row r="1" spans="1:17" ht="18.75" customHeight="1">
      <c r="A1" s="1060" t="s">
        <v>798</v>
      </c>
      <c r="B1" s="1060"/>
      <c r="C1" s="1060"/>
      <c r="D1" s="1060"/>
      <c r="E1" s="1060"/>
      <c r="F1" s="1060"/>
      <c r="G1" s="1060"/>
      <c r="H1" s="1060"/>
      <c r="I1" s="1060"/>
      <c r="J1" s="1060"/>
      <c r="K1" s="1060"/>
      <c r="L1" s="1060"/>
      <c r="M1" s="1060"/>
      <c r="N1" s="1060"/>
      <c r="O1" s="1060"/>
    </row>
    <row r="2" spans="1:17" ht="17.25" customHeight="1">
      <c r="A2" s="876"/>
      <c r="B2" s="876"/>
      <c r="C2" s="876"/>
      <c r="D2" s="876"/>
      <c r="E2" s="876"/>
      <c r="F2" s="876"/>
      <c r="G2" s="876"/>
      <c r="H2" s="876"/>
      <c r="I2" s="876"/>
      <c r="J2" s="876"/>
      <c r="K2" s="876"/>
      <c r="L2" s="876"/>
      <c r="M2" s="876"/>
      <c r="N2" s="876"/>
      <c r="O2" s="876"/>
    </row>
    <row r="3" spans="1:17" ht="54.75" customHeight="1">
      <c r="A3" s="1069" t="s">
        <v>797</v>
      </c>
      <c r="B3" s="1069"/>
      <c r="C3" s="1069"/>
      <c r="D3" s="1070" t="s">
        <v>780</v>
      </c>
      <c r="E3" s="1070"/>
      <c r="F3" s="1070"/>
      <c r="G3" s="1070"/>
      <c r="H3" s="1070"/>
      <c r="I3" s="1070"/>
      <c r="J3" s="1070"/>
      <c r="K3" s="1070"/>
      <c r="L3" s="1070"/>
      <c r="M3" s="1070"/>
      <c r="N3" s="1070"/>
      <c r="O3" s="1070"/>
    </row>
    <row r="4" spans="1:17" ht="18" customHeight="1">
      <c r="A4" s="1067"/>
      <c r="B4" s="1067"/>
      <c r="C4" s="1067"/>
      <c r="D4" s="1068"/>
      <c r="E4" s="1068"/>
      <c r="F4" s="1068"/>
      <c r="G4" s="1068"/>
      <c r="H4" s="1068"/>
      <c r="I4" s="1068"/>
      <c r="J4" s="1068"/>
      <c r="K4" s="1068"/>
      <c r="L4" s="1068"/>
      <c r="M4" s="1068"/>
      <c r="N4" s="1068"/>
      <c r="O4" s="1068"/>
    </row>
    <row r="5" spans="1:17" ht="23.25" customHeight="1">
      <c r="A5" s="385" t="s">
        <v>341</v>
      </c>
      <c r="B5" s="789" t="s">
        <v>342</v>
      </c>
      <c r="C5" s="968" t="s">
        <v>371</v>
      </c>
      <c r="D5" s="968"/>
      <c r="E5" s="968"/>
      <c r="F5" s="968"/>
      <c r="G5" s="968"/>
      <c r="H5" s="968"/>
      <c r="I5" s="968"/>
      <c r="J5" s="968"/>
      <c r="K5" s="968"/>
      <c r="L5" s="789" t="s">
        <v>0</v>
      </c>
      <c r="M5" s="387" t="s">
        <v>344</v>
      </c>
      <c r="N5" s="388"/>
      <c r="O5" s="389" t="s">
        <v>345</v>
      </c>
    </row>
    <row r="6" spans="1:17" ht="23.25" customHeight="1">
      <c r="A6" s="417"/>
      <c r="B6" s="412" t="s">
        <v>799</v>
      </c>
      <c r="C6" s="1101" t="s">
        <v>800</v>
      </c>
      <c r="D6" s="1101"/>
      <c r="E6" s="1101"/>
      <c r="F6" s="1101"/>
      <c r="G6" s="1101"/>
      <c r="H6" s="1101"/>
      <c r="I6" s="1101"/>
      <c r="J6" s="1101"/>
      <c r="K6" s="1101"/>
      <c r="L6" s="419"/>
      <c r="M6" s="419"/>
      <c r="N6" s="417"/>
      <c r="O6" s="420"/>
    </row>
    <row r="7" spans="1:17" customFormat="1" ht="15">
      <c r="A7" s="872">
        <v>1</v>
      </c>
      <c r="B7" s="683" t="s">
        <v>36</v>
      </c>
      <c r="Q7" s="879"/>
    </row>
    <row r="8" spans="1:17" customFormat="1" ht="18.75" customHeight="1">
      <c r="A8" s="872"/>
      <c r="B8" s="946">
        <v>8625</v>
      </c>
      <c r="C8" s="946"/>
      <c r="D8" s="946"/>
      <c r="E8" s="946"/>
      <c r="F8" s="6" t="s">
        <v>6</v>
      </c>
      <c r="G8" s="6"/>
      <c r="H8" s="6"/>
      <c r="I8" s="6" t="s">
        <v>15</v>
      </c>
      <c r="J8" s="6"/>
      <c r="K8" s="873" t="s">
        <v>19</v>
      </c>
      <c r="L8" s="27">
        <v>605</v>
      </c>
      <c r="M8" s="6" t="s">
        <v>12</v>
      </c>
      <c r="N8" s="6" t="s">
        <v>16</v>
      </c>
      <c r="O8" s="28">
        <f>B8*L8/100</f>
        <v>52181.25</v>
      </c>
    </row>
    <row r="9" spans="1:17" customFormat="1" ht="12.75">
      <c r="A9" s="872"/>
      <c r="K9" s="880"/>
      <c r="L9" s="881"/>
    </row>
    <row r="10" spans="1:17" customFormat="1" ht="12.75">
      <c r="A10" s="872">
        <v>2</v>
      </c>
      <c r="B10" t="s">
        <v>37</v>
      </c>
      <c r="K10" s="880"/>
      <c r="L10" s="881"/>
    </row>
    <row r="11" spans="1:17" customFormat="1" ht="12.75">
      <c r="A11" s="872"/>
      <c r="B11" t="s">
        <v>20</v>
      </c>
      <c r="K11" s="880"/>
      <c r="L11" s="881"/>
    </row>
    <row r="12" spans="1:17" customFormat="1" ht="17.25" customHeight="1">
      <c r="A12" s="872"/>
      <c r="B12" s="946">
        <v>750</v>
      </c>
      <c r="C12" s="946"/>
      <c r="D12" s="946"/>
      <c r="E12" s="946"/>
      <c r="F12" s="6" t="s">
        <v>6</v>
      </c>
      <c r="K12" s="880" t="str">
        <f>K8</f>
        <v xml:space="preserve"> @ Rs:</v>
      </c>
      <c r="L12" s="881">
        <v>1285.6300000000001</v>
      </c>
      <c r="M12" t="str">
        <f>M8</f>
        <v>P%Cft</v>
      </c>
      <c r="N12" t="s">
        <v>16</v>
      </c>
      <c r="O12" s="10">
        <f>B12*L12/100</f>
        <v>9642.2250000000004</v>
      </c>
    </row>
    <row r="13" spans="1:17" customFormat="1" ht="12.75">
      <c r="A13" s="872"/>
      <c r="E13" t="s">
        <v>15</v>
      </c>
      <c r="K13" s="880"/>
      <c r="L13" s="881"/>
    </row>
    <row r="14" spans="1:17" customFormat="1" ht="12.75">
      <c r="A14" s="872">
        <v>3</v>
      </c>
      <c r="B14" t="s">
        <v>38</v>
      </c>
      <c r="K14" s="880"/>
      <c r="L14" s="881"/>
    </row>
    <row r="15" spans="1:17" customFormat="1" ht="21" customHeight="1">
      <c r="A15" s="872"/>
      <c r="B15" s="946">
        <v>300</v>
      </c>
      <c r="C15" s="946"/>
      <c r="D15" s="946"/>
      <c r="E15" s="946"/>
      <c r="F15" s="6" t="s">
        <v>6</v>
      </c>
      <c r="K15" s="880" t="str">
        <f>K12</f>
        <v xml:space="preserve"> @ Rs:</v>
      </c>
      <c r="L15" s="881">
        <v>3327.5</v>
      </c>
      <c r="M15" t="str">
        <f>M12</f>
        <v>P%Cft</v>
      </c>
      <c r="N15" t="str">
        <f>N12</f>
        <v>Rs:</v>
      </c>
      <c r="O15" s="10">
        <f>B15*L15/100</f>
        <v>9982.5</v>
      </c>
    </row>
    <row r="16" spans="1:17" customFormat="1" ht="12.75">
      <c r="A16" s="872"/>
      <c r="K16" s="880"/>
      <c r="L16" s="881"/>
      <c r="O16" s="683"/>
    </row>
    <row r="17" spans="1:15" customFormat="1" ht="12.75">
      <c r="A17" s="872">
        <v>4</v>
      </c>
      <c r="B17" t="s">
        <v>23</v>
      </c>
      <c r="K17" s="880"/>
      <c r="L17" s="881"/>
    </row>
    <row r="18" spans="1:15" customFormat="1" ht="12.75">
      <c r="A18" s="872"/>
      <c r="B18" t="s">
        <v>282</v>
      </c>
      <c r="K18" s="880"/>
      <c r="L18" s="881"/>
    </row>
    <row r="19" spans="1:15" customFormat="1" ht="19.5" customHeight="1">
      <c r="A19" s="872"/>
      <c r="B19" s="946">
        <v>450</v>
      </c>
      <c r="C19" s="946"/>
      <c r="D19" s="946"/>
      <c r="E19" s="946"/>
      <c r="F19" s="6" t="s">
        <v>6</v>
      </c>
      <c r="K19" s="880" t="str">
        <f>K15</f>
        <v xml:space="preserve"> @ Rs:</v>
      </c>
      <c r="L19" s="881">
        <v>5445</v>
      </c>
      <c r="M19" t="str">
        <f>M15</f>
        <v>P%Cft</v>
      </c>
      <c r="N19" t="str">
        <f>N15</f>
        <v>Rs:</v>
      </c>
      <c r="O19" s="10">
        <f>B19*L19/100</f>
        <v>24502.5</v>
      </c>
    </row>
    <row r="20" spans="1:15" customFormat="1" ht="12.75">
      <c r="A20" s="872"/>
      <c r="K20" s="880"/>
      <c r="L20" s="881"/>
    </row>
    <row r="21" spans="1:15" customFormat="1" ht="15.75">
      <c r="A21" s="872">
        <v>5</v>
      </c>
      <c r="B21" s="7" t="s">
        <v>79</v>
      </c>
      <c r="C21" s="19"/>
      <c r="D21" s="19"/>
      <c r="E21" s="19"/>
      <c r="K21" s="880"/>
      <c r="L21" s="881"/>
    </row>
    <row r="22" spans="1:15" customFormat="1" ht="15.75">
      <c r="A22" s="872"/>
      <c r="B22" s="7" t="s">
        <v>80</v>
      </c>
      <c r="K22" s="880"/>
      <c r="L22" s="881"/>
    </row>
    <row r="23" spans="1:15" customFormat="1" ht="15.75">
      <c r="A23" s="872"/>
      <c r="B23" s="7" t="s">
        <v>81</v>
      </c>
      <c r="K23" s="880"/>
      <c r="L23" s="881"/>
    </row>
    <row r="24" spans="1:15" customFormat="1" ht="15.75">
      <c r="A24" s="872"/>
      <c r="B24" s="7" t="s">
        <v>82</v>
      </c>
      <c r="K24" s="880"/>
      <c r="L24" s="881"/>
    </row>
    <row r="25" spans="1:15" customFormat="1" ht="15.75">
      <c r="A25" s="872"/>
      <c r="B25" s="7" t="s">
        <v>83</v>
      </c>
      <c r="K25" s="880"/>
      <c r="L25" s="881"/>
    </row>
    <row r="26" spans="1:15" customFormat="1" ht="15.75">
      <c r="A26" s="872"/>
      <c r="B26" s="7" t="s">
        <v>84</v>
      </c>
      <c r="K26" s="880"/>
      <c r="L26" s="881"/>
    </row>
    <row r="27" spans="1:15" customFormat="1" ht="15.75">
      <c r="A27" s="872"/>
      <c r="B27" s="7" t="s">
        <v>129</v>
      </c>
      <c r="K27" s="880"/>
      <c r="L27" s="881"/>
    </row>
    <row r="28" spans="1:15" customFormat="1" ht="21" customHeight="1">
      <c r="A28" s="872"/>
      <c r="B28" s="946">
        <v>36800</v>
      </c>
      <c r="C28" s="946"/>
      <c r="D28" s="946"/>
      <c r="E28" s="946"/>
      <c r="F28" s="6" t="s">
        <v>6</v>
      </c>
      <c r="K28" s="880" t="str">
        <f>K19</f>
        <v xml:space="preserve"> @ Rs:</v>
      </c>
      <c r="L28" s="881">
        <v>3600</v>
      </c>
      <c r="M28" t="s">
        <v>1</v>
      </c>
      <c r="N28" t="s">
        <v>16</v>
      </c>
      <c r="O28" s="10">
        <f>B28*L28/1000</f>
        <v>132480</v>
      </c>
    </row>
    <row r="29" spans="1:15" customFormat="1" ht="12.75">
      <c r="A29" s="872"/>
      <c r="K29" s="880"/>
      <c r="L29" s="881"/>
    </row>
    <row r="30" spans="1:15" customFormat="1" ht="15.75">
      <c r="A30" s="872">
        <v>6</v>
      </c>
      <c r="B30" s="7" t="s">
        <v>87</v>
      </c>
      <c r="K30" s="880"/>
      <c r="L30" s="881"/>
    </row>
    <row r="31" spans="1:15" customFormat="1" ht="15.75">
      <c r="A31" s="872"/>
      <c r="B31" s="7" t="s">
        <v>80</v>
      </c>
      <c r="K31" s="880"/>
      <c r="L31" s="881"/>
    </row>
    <row r="32" spans="1:15" customFormat="1" ht="15.75">
      <c r="A32" s="872"/>
      <c r="B32" s="7" t="s">
        <v>81</v>
      </c>
      <c r="K32" s="880"/>
      <c r="L32" s="881"/>
    </row>
    <row r="33" spans="1:15" customFormat="1" ht="15.75">
      <c r="A33" s="872"/>
      <c r="B33" s="7" t="s">
        <v>82</v>
      </c>
      <c r="K33" s="880"/>
      <c r="L33" s="881"/>
    </row>
    <row r="34" spans="1:15" customFormat="1" ht="15.75">
      <c r="A34" s="872"/>
      <c r="B34" s="7" t="s">
        <v>83</v>
      </c>
      <c r="K34" s="880"/>
      <c r="L34" s="881"/>
    </row>
    <row r="35" spans="1:15" customFormat="1" ht="15.75">
      <c r="A35" s="872"/>
      <c r="B35" s="7" t="s">
        <v>84</v>
      </c>
      <c r="K35" s="880"/>
      <c r="L35" s="881"/>
    </row>
    <row r="36" spans="1:15" customFormat="1" ht="15.75">
      <c r="A36" s="872"/>
      <c r="B36" s="7" t="s">
        <v>130</v>
      </c>
      <c r="K36" s="880"/>
      <c r="L36" s="881"/>
    </row>
    <row r="37" spans="1:15" customFormat="1" ht="21" customHeight="1">
      <c r="A37" s="872"/>
      <c r="B37" s="946">
        <v>13800</v>
      </c>
      <c r="C37" s="946"/>
      <c r="D37" s="946"/>
      <c r="E37" s="946"/>
      <c r="F37" s="6" t="s">
        <v>6</v>
      </c>
      <c r="K37" s="880" t="str">
        <f>K28</f>
        <v xml:space="preserve"> @ Rs:</v>
      </c>
      <c r="L37" s="881">
        <v>5400</v>
      </c>
      <c r="M37" t="str">
        <f>M28</f>
        <v>P%0Cft</v>
      </c>
      <c r="N37" t="s">
        <v>16</v>
      </c>
      <c r="O37" s="10">
        <f>B37*L37/1000</f>
        <v>74520</v>
      </c>
    </row>
    <row r="38" spans="1:15" customFormat="1" ht="12.75">
      <c r="A38" s="872"/>
      <c r="K38" s="880"/>
      <c r="L38" s="881"/>
    </row>
    <row r="39" spans="1:15" customFormat="1" ht="15.75">
      <c r="A39" s="872">
        <v>7</v>
      </c>
      <c r="B39" s="7" t="s">
        <v>92</v>
      </c>
      <c r="K39" s="880"/>
      <c r="L39" s="881"/>
    </row>
    <row r="40" spans="1:15" customFormat="1" ht="15.75">
      <c r="A40" s="872"/>
      <c r="B40" s="7" t="s">
        <v>268</v>
      </c>
      <c r="K40" s="880"/>
      <c r="L40" s="881"/>
    </row>
    <row r="41" spans="1:15" customFormat="1" ht="22.5" customHeight="1">
      <c r="A41" s="872"/>
      <c r="B41" s="1016">
        <v>8000</v>
      </c>
      <c r="C41" s="1016"/>
      <c r="D41" s="1016"/>
      <c r="E41" s="1016"/>
      <c r="F41" s="6" t="s">
        <v>6</v>
      </c>
      <c r="K41" s="880" t="str">
        <f>K37</f>
        <v xml:space="preserve"> @ Rs:</v>
      </c>
      <c r="L41" s="881">
        <v>2760</v>
      </c>
      <c r="M41" t="str">
        <f>M37</f>
        <v>P%0Cft</v>
      </c>
      <c r="N41" t="s">
        <v>16</v>
      </c>
      <c r="O41" s="10">
        <f>B41*L41/1000</f>
        <v>22080</v>
      </c>
    </row>
    <row r="42" spans="1:15" customFormat="1" ht="12.75">
      <c r="A42" s="872"/>
      <c r="K42" s="880"/>
      <c r="L42" s="881"/>
    </row>
    <row r="43" spans="1:15" customFormat="1" ht="12.75">
      <c r="A43" s="872">
        <v>8</v>
      </c>
      <c r="B43" t="s">
        <v>473</v>
      </c>
      <c r="K43" s="880"/>
      <c r="L43" s="881"/>
    </row>
    <row r="44" spans="1:15" customFormat="1" ht="25.5" customHeight="1">
      <c r="A44" s="872"/>
      <c r="B44" s="946">
        <v>52725</v>
      </c>
      <c r="C44" s="946"/>
      <c r="D44" s="946"/>
      <c r="E44" s="946"/>
      <c r="F44" s="6" t="s">
        <v>6</v>
      </c>
      <c r="K44" s="880" t="str">
        <f>K41</f>
        <v xml:space="preserve"> @ Rs:</v>
      </c>
      <c r="L44" s="881">
        <v>2015.6</v>
      </c>
      <c r="M44" t="s">
        <v>27</v>
      </c>
      <c r="N44" t="s">
        <v>16</v>
      </c>
      <c r="O44" s="10">
        <f>B44*L44/1000</f>
        <v>106272.51</v>
      </c>
    </row>
    <row r="45" spans="1:15" customFormat="1" ht="12.75">
      <c r="A45" s="872"/>
      <c r="K45" s="880"/>
      <c r="L45" s="881"/>
    </row>
    <row r="46" spans="1:15" customFormat="1" ht="15.75">
      <c r="A46" s="872">
        <v>9</v>
      </c>
      <c r="B46" s="7" t="s">
        <v>303</v>
      </c>
      <c r="K46" s="880"/>
      <c r="L46" s="881"/>
    </row>
    <row r="47" spans="1:15" customFormat="1" ht="15.75">
      <c r="A47" s="872"/>
      <c r="B47" s="7" t="s">
        <v>304</v>
      </c>
      <c r="K47" s="880"/>
      <c r="L47" s="881"/>
    </row>
    <row r="48" spans="1:15" customFormat="1" ht="15.75">
      <c r="A48" s="872"/>
      <c r="B48" s="7" t="s">
        <v>305</v>
      </c>
      <c r="K48" s="880"/>
      <c r="L48" s="881"/>
    </row>
    <row r="49" spans="1:15" customFormat="1" ht="15.75">
      <c r="A49" s="872" t="s">
        <v>481</v>
      </c>
      <c r="B49" s="7" t="s">
        <v>482</v>
      </c>
      <c r="E49" s="872"/>
      <c r="G49" s="871"/>
      <c r="I49" s="871"/>
      <c r="J49" s="872"/>
      <c r="K49" s="872"/>
      <c r="L49" s="880"/>
      <c r="M49" s="27"/>
    </row>
    <row r="50" spans="1:15" customFormat="1" ht="18" customHeight="1">
      <c r="A50" s="872"/>
      <c r="B50" s="946">
        <v>4600</v>
      </c>
      <c r="C50" s="946"/>
      <c r="D50" s="946"/>
      <c r="E50" s="946"/>
      <c r="F50" s="6" t="s">
        <v>6</v>
      </c>
      <c r="I50" s="872"/>
      <c r="K50" s="880" t="str">
        <f>K44</f>
        <v xml:space="preserve"> @ Rs:</v>
      </c>
      <c r="L50" s="881">
        <v>11288.75</v>
      </c>
      <c r="M50" t="str">
        <f>M44</f>
        <v>P% Cft</v>
      </c>
      <c r="N50" t="s">
        <v>16</v>
      </c>
      <c r="O50" s="10">
        <f>B50*L50/100</f>
        <v>519282.5</v>
      </c>
    </row>
    <row r="51" spans="1:15" customFormat="1" ht="12.75">
      <c r="A51" s="872"/>
      <c r="I51" s="872"/>
      <c r="K51" s="880"/>
      <c r="L51" s="881"/>
    </row>
    <row r="52" spans="1:15" customFormat="1" ht="15.75">
      <c r="A52" s="872" t="s">
        <v>483</v>
      </c>
      <c r="B52" s="7" t="s">
        <v>484</v>
      </c>
      <c r="I52" s="872"/>
      <c r="K52" s="880"/>
      <c r="L52" s="881"/>
    </row>
    <row r="53" spans="1:15" customFormat="1" ht="18.75" customHeight="1">
      <c r="A53" s="872"/>
      <c r="B53" s="946">
        <v>2575</v>
      </c>
      <c r="C53" s="947"/>
      <c r="D53" s="947"/>
      <c r="E53" s="947"/>
      <c r="F53" s="6" t="s">
        <v>6</v>
      </c>
      <c r="K53" s="880" t="str">
        <f>K50</f>
        <v xml:space="preserve"> @ Rs:</v>
      </c>
      <c r="L53" s="881">
        <v>14429.25</v>
      </c>
      <c r="M53" t="str">
        <f>M50</f>
        <v>P% Cft</v>
      </c>
      <c r="N53" t="s">
        <v>16</v>
      </c>
      <c r="O53" s="10">
        <f>B53*L53/100</f>
        <v>371553.1875</v>
      </c>
    </row>
    <row r="54" spans="1:15" customFormat="1" ht="12.75">
      <c r="A54" s="872"/>
      <c r="K54" s="880"/>
      <c r="L54" s="881"/>
    </row>
    <row r="55" spans="1:15" customFormat="1" ht="15.75">
      <c r="A55" s="872">
        <v>10</v>
      </c>
      <c r="B55" s="7" t="s">
        <v>486</v>
      </c>
      <c r="K55" s="880"/>
      <c r="L55" s="881"/>
    </row>
    <row r="56" spans="1:15" customFormat="1" ht="15.75">
      <c r="A56" s="872"/>
      <c r="B56" s="7" t="s">
        <v>487</v>
      </c>
      <c r="K56" s="880"/>
      <c r="L56" s="881"/>
    </row>
    <row r="57" spans="1:15" customFormat="1" ht="12.75">
      <c r="A57" s="872"/>
      <c r="B57" s="49" t="s">
        <v>488</v>
      </c>
      <c r="J57" s="872"/>
      <c r="K57" s="880"/>
      <c r="L57" s="881"/>
    </row>
    <row r="58" spans="1:15" customFormat="1" ht="18.75" customHeight="1">
      <c r="A58" s="872"/>
      <c r="B58" s="946">
        <v>6280</v>
      </c>
      <c r="C58" s="947"/>
      <c r="D58" s="947"/>
      <c r="E58" s="947"/>
      <c r="F58" s="6" t="s">
        <v>8</v>
      </c>
      <c r="K58" s="873" t="s">
        <v>17</v>
      </c>
      <c r="L58" s="881">
        <v>3127.41</v>
      </c>
      <c r="M58" s="6" t="s">
        <v>7</v>
      </c>
      <c r="N58" t="s">
        <v>16</v>
      </c>
      <c r="O58" s="10">
        <f>B58*L58/100</f>
        <v>196401.348</v>
      </c>
    </row>
    <row r="59" spans="1:15" customFormat="1" ht="12.75">
      <c r="A59" s="872"/>
      <c r="K59" s="880"/>
      <c r="L59" s="881"/>
    </row>
    <row r="60" spans="1:15" customFormat="1" ht="12.75">
      <c r="A60" s="872">
        <v>11</v>
      </c>
      <c r="B60" s="225" t="s">
        <v>308</v>
      </c>
      <c r="C60" s="133"/>
      <c r="D60" s="133"/>
      <c r="E60" s="133"/>
      <c r="F60" s="133"/>
      <c r="G60" s="133"/>
      <c r="H60" s="133"/>
      <c r="I60" s="133"/>
      <c r="J60" s="133"/>
      <c r="K60" s="557"/>
      <c r="L60" s="881"/>
    </row>
    <row r="61" spans="1:15" customFormat="1" ht="12.75">
      <c r="A61" s="872"/>
      <c r="B61" t="s">
        <v>309</v>
      </c>
      <c r="K61" s="880"/>
      <c r="L61" s="881"/>
    </row>
    <row r="62" spans="1:15" customFormat="1" ht="12.75">
      <c r="A62" s="872"/>
      <c r="B62" t="s">
        <v>310</v>
      </c>
      <c r="K62" s="880"/>
      <c r="L62" s="881"/>
    </row>
    <row r="63" spans="1:15" customFormat="1" ht="12.75">
      <c r="A63" s="872"/>
      <c r="B63" t="s">
        <v>311</v>
      </c>
      <c r="K63" s="880"/>
      <c r="L63" s="881"/>
    </row>
    <row r="64" spans="1:15" customFormat="1" ht="12.75">
      <c r="A64" s="872"/>
      <c r="B64" t="s">
        <v>312</v>
      </c>
      <c r="K64" s="880"/>
      <c r="L64" s="881"/>
    </row>
    <row r="65" spans="1:15" customFormat="1" ht="12.75">
      <c r="A65" s="872"/>
      <c r="B65" t="s">
        <v>313</v>
      </c>
      <c r="K65" s="880"/>
      <c r="L65" s="881"/>
    </row>
    <row r="66" spans="1:15" customFormat="1" ht="12.75">
      <c r="A66" s="872"/>
      <c r="L66" s="874"/>
      <c r="M66" s="27"/>
    </row>
    <row r="67" spans="1:15" customFormat="1" ht="12.75">
      <c r="A67" s="872"/>
      <c r="B67" s="946">
        <v>17792</v>
      </c>
      <c r="C67" s="946"/>
      <c r="D67" s="946"/>
      <c r="E67" s="946"/>
      <c r="F67" s="6" t="s">
        <v>6</v>
      </c>
      <c r="K67" s="880" t="str">
        <f>K53</f>
        <v xml:space="preserve"> @ Rs:</v>
      </c>
      <c r="L67" s="881">
        <v>337</v>
      </c>
      <c r="M67" t="s">
        <v>48</v>
      </c>
      <c r="N67" t="s">
        <v>16</v>
      </c>
      <c r="O67" s="10">
        <f>B67*L67</f>
        <v>5995904</v>
      </c>
    </row>
    <row r="68" spans="1:15" customFormat="1" ht="12.75">
      <c r="A68" s="872"/>
      <c r="K68" s="880"/>
      <c r="L68" s="881"/>
    </row>
    <row r="69" spans="1:15" customFormat="1" ht="15.75">
      <c r="A69" s="872">
        <v>12</v>
      </c>
      <c r="B69" s="7" t="s">
        <v>319</v>
      </c>
      <c r="K69" s="880"/>
      <c r="L69" s="881"/>
    </row>
    <row r="70" spans="1:15" customFormat="1" ht="15.75">
      <c r="A70" s="872"/>
      <c r="B70" s="7" t="s">
        <v>320</v>
      </c>
      <c r="K70" s="880"/>
      <c r="L70" s="881"/>
    </row>
    <row r="71" spans="1:15" customFormat="1" ht="15.75">
      <c r="A71" s="872"/>
      <c r="B71" s="7" t="s">
        <v>321</v>
      </c>
      <c r="K71" s="880"/>
      <c r="L71" s="881"/>
    </row>
    <row r="72" spans="1:15" customFormat="1" ht="12.75">
      <c r="A72" s="872"/>
      <c r="B72" s="1014">
        <v>625.43899999999996</v>
      </c>
      <c r="C72" s="1014"/>
      <c r="D72" s="1014"/>
      <c r="E72" s="1014"/>
      <c r="F72" s="6" t="s">
        <v>9</v>
      </c>
      <c r="K72" s="880" t="str">
        <f>K67</f>
        <v xml:space="preserve"> @ Rs:</v>
      </c>
      <c r="L72" s="881">
        <v>5001.7</v>
      </c>
      <c r="M72" t="s">
        <v>60</v>
      </c>
      <c r="N72" t="s">
        <v>16</v>
      </c>
      <c r="O72" s="10">
        <f>B72*L72</f>
        <v>3128258.2462999998</v>
      </c>
    </row>
    <row r="73" spans="1:15" customFormat="1" ht="12.75">
      <c r="A73" s="872"/>
      <c r="K73" s="880"/>
      <c r="L73" s="881"/>
    </row>
    <row r="74" spans="1:15" customFormat="1" ht="12.75">
      <c r="A74" s="872"/>
      <c r="K74" s="880"/>
      <c r="L74" s="881"/>
    </row>
    <row r="75" spans="1:15" customFormat="1" ht="12.75">
      <c r="A75" s="872">
        <v>13</v>
      </c>
      <c r="B75" t="s">
        <v>501</v>
      </c>
      <c r="K75" s="880"/>
      <c r="L75" s="881"/>
    </row>
    <row r="76" spans="1:15" customFormat="1" ht="17.25" customHeight="1">
      <c r="A76" s="872"/>
      <c r="B76" s="946">
        <v>48</v>
      </c>
      <c r="C76" s="947"/>
      <c r="D76" s="947"/>
      <c r="E76" s="947"/>
      <c r="F76" s="6" t="s">
        <v>9</v>
      </c>
      <c r="K76" s="558" t="s">
        <v>213</v>
      </c>
      <c r="L76" s="881">
        <v>6985</v>
      </c>
      <c r="M76" s="683" t="s">
        <v>60</v>
      </c>
      <c r="N76" s="683" t="s">
        <v>16</v>
      </c>
      <c r="O76" s="10">
        <f>B76*L76</f>
        <v>335280</v>
      </c>
    </row>
    <row r="77" spans="1:15" customFormat="1" ht="12.75">
      <c r="A77" s="872"/>
      <c r="K77" s="880"/>
      <c r="L77" s="881"/>
    </row>
    <row r="78" spans="1:15" customFormat="1" ht="15.75">
      <c r="A78" s="872">
        <v>14</v>
      </c>
      <c r="B78" s="7" t="s">
        <v>502</v>
      </c>
      <c r="K78" s="880"/>
      <c r="L78" s="881"/>
    </row>
    <row r="79" spans="1:15" customFormat="1" ht="15.75">
      <c r="A79" s="872"/>
      <c r="B79" s="7" t="s">
        <v>503</v>
      </c>
      <c r="K79" s="880"/>
      <c r="L79" s="881"/>
    </row>
    <row r="80" spans="1:15" customFormat="1" ht="15.75">
      <c r="A80" s="872"/>
      <c r="B80" s="7" t="s">
        <v>504</v>
      </c>
      <c r="K80" s="880"/>
      <c r="L80" s="881"/>
    </row>
    <row r="81" spans="1:17" customFormat="1" ht="12.75">
      <c r="A81" s="872"/>
      <c r="B81" s="946">
        <v>8</v>
      </c>
      <c r="C81" s="946"/>
      <c r="D81" s="946"/>
      <c r="E81" s="946"/>
      <c r="F81" s="6" t="s">
        <v>9</v>
      </c>
      <c r="K81" s="880" t="str">
        <f>K76</f>
        <v>@Rs</v>
      </c>
      <c r="L81" s="881">
        <v>6420.61</v>
      </c>
      <c r="M81" s="683" t="s">
        <v>60</v>
      </c>
      <c r="N81" s="683" t="s">
        <v>16</v>
      </c>
      <c r="O81" s="28">
        <f>B81*L81</f>
        <v>51364.88</v>
      </c>
    </row>
    <row r="82" spans="1:17" customFormat="1" ht="12.75">
      <c r="A82" s="872"/>
      <c r="B82" s="341"/>
      <c r="C82" s="342"/>
      <c r="D82" s="342"/>
      <c r="E82" s="342"/>
      <c r="K82" s="880"/>
      <c r="L82" s="881"/>
      <c r="M82" s="683"/>
      <c r="N82" s="683"/>
      <c r="O82" s="177"/>
    </row>
    <row r="83" spans="1:17" s="560" customFormat="1" ht="12.75">
      <c r="A83" s="361">
        <v>15</v>
      </c>
      <c r="B83" s="561" t="s">
        <v>512</v>
      </c>
      <c r="C83" s="562"/>
      <c r="D83" s="562"/>
      <c r="E83" s="562"/>
      <c r="M83" s="557"/>
      <c r="N83" s="563"/>
      <c r="O83" s="64"/>
      <c r="P83" s="64"/>
      <c r="Q83" s="564"/>
    </row>
    <row r="84" spans="1:17" s="560" customFormat="1" ht="12.75">
      <c r="B84" s="561" t="s">
        <v>513</v>
      </c>
      <c r="C84" s="562"/>
      <c r="D84" s="562"/>
      <c r="E84" s="562"/>
      <c r="M84" s="557"/>
      <c r="N84" s="563"/>
      <c r="O84" s="64"/>
      <c r="P84" s="64"/>
      <c r="Q84" s="564"/>
    </row>
    <row r="85" spans="1:17" s="560" customFormat="1" ht="12.75">
      <c r="B85" s="561" t="s">
        <v>514</v>
      </c>
      <c r="C85" s="562"/>
      <c r="D85" s="562"/>
      <c r="E85" s="361"/>
      <c r="K85" s="361"/>
      <c r="L85" s="361"/>
      <c r="M85" s="361"/>
      <c r="N85" s="557"/>
      <c r="O85" s="563"/>
      <c r="P85" s="64"/>
      <c r="Q85" s="64"/>
    </row>
    <row r="86" spans="1:17" s="560" customFormat="1" ht="12.75">
      <c r="B86" s="561" t="s">
        <v>329</v>
      </c>
      <c r="C86" s="562"/>
      <c r="D86" s="562"/>
      <c r="E86" s="361"/>
      <c r="K86" s="361"/>
      <c r="L86" s="361"/>
      <c r="M86" s="361"/>
      <c r="N86" s="557"/>
      <c r="O86" s="563"/>
      <c r="P86" s="64"/>
      <c r="Q86" s="64"/>
    </row>
    <row r="87" spans="1:17" customFormat="1" ht="21.75" customHeight="1">
      <c r="A87" s="872"/>
      <c r="B87" s="946">
        <v>32</v>
      </c>
      <c r="C87" s="946"/>
      <c r="D87" s="946"/>
      <c r="E87" s="946"/>
      <c r="F87" s="6" t="s">
        <v>9</v>
      </c>
      <c r="K87" s="558" t="s">
        <v>213</v>
      </c>
      <c r="L87" s="881">
        <v>1051.25</v>
      </c>
      <c r="M87" s="683" t="s">
        <v>330</v>
      </c>
      <c r="N87" s="683" t="s">
        <v>16</v>
      </c>
      <c r="O87" s="10">
        <f>B87*L87</f>
        <v>33640</v>
      </c>
    </row>
    <row r="88" spans="1:17" customFormat="1" ht="12.75">
      <c r="A88" s="872"/>
      <c r="N88" s="274"/>
      <c r="O88" s="274"/>
    </row>
    <row r="89" spans="1:17" s="461" customFormat="1" ht="22.5" customHeight="1">
      <c r="A89" s="879"/>
      <c r="M89" s="461" t="s">
        <v>183</v>
      </c>
      <c r="N89" s="530" t="s">
        <v>402</v>
      </c>
      <c r="O89" s="519">
        <f>SUM(O8:O88)</f>
        <v>11063345.1468</v>
      </c>
    </row>
    <row r="90" spans="1:17">
      <c r="A90" s="417"/>
      <c r="B90" s="418" t="s">
        <v>759</v>
      </c>
      <c r="C90" s="419"/>
      <c r="D90" s="419"/>
      <c r="E90" s="419"/>
      <c r="F90" s="419"/>
      <c r="G90" s="419"/>
      <c r="H90" s="419"/>
      <c r="I90" s="419"/>
      <c r="J90" s="419"/>
      <c r="K90" s="419"/>
      <c r="L90" s="417"/>
      <c r="M90" s="417"/>
      <c r="N90" s="417"/>
      <c r="O90" s="420"/>
    </row>
    <row r="91" spans="1:17" s="390" customFormat="1" ht="14.25">
      <c r="B91" s="421"/>
      <c r="C91" s="421"/>
      <c r="D91" s="421"/>
      <c r="E91" s="421"/>
      <c r="K91" s="400"/>
      <c r="L91" s="878"/>
      <c r="O91" s="397"/>
    </row>
    <row r="92" spans="1:17">
      <c r="A92" s="875">
        <v>1</v>
      </c>
      <c r="B92" s="384" t="s">
        <v>296</v>
      </c>
      <c r="D92" s="875"/>
      <c r="E92" s="875"/>
      <c r="F92" s="875"/>
      <c r="G92" s="875"/>
      <c r="H92" s="875"/>
      <c r="I92" s="875"/>
      <c r="J92" s="875"/>
      <c r="K92" s="875"/>
      <c r="O92" s="882"/>
    </row>
    <row r="93" spans="1:17">
      <c r="B93" s="384" t="s">
        <v>278</v>
      </c>
      <c r="D93" s="875"/>
      <c r="E93" s="875"/>
      <c r="F93" s="875"/>
      <c r="G93" s="875"/>
      <c r="H93" s="875"/>
      <c r="I93" s="875"/>
      <c r="J93" s="875"/>
      <c r="K93" s="875"/>
      <c r="O93" s="422"/>
    </row>
    <row r="94" spans="1:17">
      <c r="B94" s="384" t="s">
        <v>372</v>
      </c>
      <c r="D94" s="875"/>
      <c r="E94" s="875"/>
      <c r="F94" s="875"/>
      <c r="G94" s="875"/>
      <c r="H94" s="875"/>
      <c r="I94" s="875"/>
      <c r="J94" s="875"/>
      <c r="K94" s="875"/>
      <c r="O94" s="882"/>
    </row>
    <row r="95" spans="1:17" ht="20.25" customHeight="1">
      <c r="B95" s="401">
        <v>18707.5</v>
      </c>
      <c r="C95" s="421" t="s">
        <v>167</v>
      </c>
      <c r="D95" s="421"/>
      <c r="E95" s="421"/>
      <c r="F95" s="421"/>
      <c r="G95" s="390"/>
      <c r="H95" s="390"/>
      <c r="I95" s="390"/>
      <c r="J95" s="390"/>
      <c r="K95" s="396" t="s">
        <v>11</v>
      </c>
      <c r="L95" s="878">
        <v>3176.25</v>
      </c>
      <c r="M95" s="390" t="s">
        <v>1</v>
      </c>
      <c r="N95" s="390" t="s">
        <v>5</v>
      </c>
      <c r="O95" s="397">
        <f>B95*L95/1000</f>
        <v>59419.696875000001</v>
      </c>
    </row>
    <row r="97" spans="1:15">
      <c r="A97" s="875">
        <v>2</v>
      </c>
      <c r="B97" s="384" t="s">
        <v>303</v>
      </c>
      <c r="D97" s="390"/>
      <c r="E97" s="390"/>
      <c r="F97" s="390"/>
      <c r="G97" s="390"/>
      <c r="H97" s="390"/>
      <c r="I97" s="390"/>
      <c r="J97" s="390"/>
      <c r="K97" s="390"/>
      <c r="L97" s="390"/>
      <c r="M97" s="390"/>
      <c r="N97" s="390"/>
      <c r="O97" s="397"/>
    </row>
    <row r="98" spans="1:15">
      <c r="A98" s="875"/>
      <c r="B98" s="384" t="s">
        <v>304</v>
      </c>
      <c r="D98" s="390"/>
      <c r="E98" s="390"/>
      <c r="F98" s="390"/>
      <c r="G98" s="390"/>
      <c r="H98" s="390"/>
      <c r="I98" s="390"/>
      <c r="J98" s="390"/>
      <c r="K98" s="390"/>
      <c r="L98" s="390"/>
      <c r="M98" s="390"/>
      <c r="N98" s="390"/>
      <c r="O98" s="397"/>
    </row>
    <row r="99" spans="1:15">
      <c r="A99" s="875"/>
      <c r="B99" s="384" t="s">
        <v>374</v>
      </c>
      <c r="D99" s="390"/>
      <c r="E99" s="390"/>
      <c r="F99" s="390"/>
      <c r="G99" s="390"/>
      <c r="H99" s="390"/>
      <c r="I99" s="390"/>
      <c r="J99" s="390"/>
      <c r="K99" s="390"/>
      <c r="L99" s="390"/>
      <c r="M99" s="390"/>
      <c r="N99" s="390"/>
      <c r="O99" s="397"/>
    </row>
    <row r="100" spans="1:15">
      <c r="A100" s="875"/>
      <c r="B100" s="401"/>
      <c r="C100" s="390"/>
      <c r="D100" s="390"/>
      <c r="E100" s="390"/>
      <c r="F100" s="390"/>
      <c r="G100" s="390"/>
      <c r="H100" s="390"/>
      <c r="I100" s="390"/>
      <c r="J100" s="390"/>
      <c r="K100" s="390"/>
      <c r="L100" s="390"/>
      <c r="M100" s="390"/>
      <c r="N100" s="390"/>
      <c r="O100" s="397"/>
    </row>
    <row r="101" spans="1:15">
      <c r="A101" s="875"/>
      <c r="B101" s="401">
        <v>3443.5</v>
      </c>
      <c r="C101" s="390"/>
      <c r="D101" s="390" t="s">
        <v>6</v>
      </c>
      <c r="E101" s="390"/>
      <c r="F101" s="390"/>
      <c r="G101" s="390"/>
      <c r="H101" s="390"/>
      <c r="I101" s="417"/>
      <c r="J101" s="390"/>
      <c r="K101" s="396" t="str">
        <f>K95</f>
        <v xml:space="preserve"> @Rs</v>
      </c>
      <c r="L101" s="878">
        <v>11288.75</v>
      </c>
      <c r="M101" s="390" t="s">
        <v>12</v>
      </c>
      <c r="N101" s="390" t="s">
        <v>5</v>
      </c>
      <c r="O101" s="397">
        <f>B101*L101/100</f>
        <v>388728.10625000001</v>
      </c>
    </row>
    <row r="102" spans="1:15">
      <c r="A102" s="875"/>
      <c r="B102" s="401"/>
      <c r="C102" s="390"/>
      <c r="D102" s="390"/>
      <c r="E102" s="390"/>
      <c r="F102" s="390"/>
      <c r="G102" s="390"/>
      <c r="H102" s="390"/>
      <c r="I102" s="390"/>
      <c r="J102" s="390"/>
      <c r="K102" s="396"/>
      <c r="L102" s="393"/>
      <c r="M102" s="390"/>
      <c r="N102" s="390"/>
      <c r="O102" s="397"/>
    </row>
    <row r="103" spans="1:15" ht="16.5" customHeight="1">
      <c r="A103" s="877">
        <v>3</v>
      </c>
      <c r="B103" s="969" t="s">
        <v>375</v>
      </c>
      <c r="C103" s="969"/>
      <c r="D103" s="969"/>
      <c r="E103" s="969"/>
      <c r="F103" s="969"/>
      <c r="G103" s="969"/>
      <c r="H103" s="969"/>
      <c r="I103" s="969"/>
      <c r="J103" s="969"/>
      <c r="K103" s="969"/>
      <c r="L103" s="969"/>
      <c r="O103" s="882"/>
    </row>
    <row r="104" spans="1:15">
      <c r="B104" s="424" t="s">
        <v>376</v>
      </c>
      <c r="C104" s="970">
        <v>500</v>
      </c>
      <c r="D104" s="970"/>
      <c r="E104" s="390" t="s">
        <v>10</v>
      </c>
      <c r="I104" s="390"/>
      <c r="K104" s="396" t="s">
        <v>11</v>
      </c>
      <c r="L104" s="878">
        <v>94</v>
      </c>
      <c r="M104" s="390" t="s">
        <v>14</v>
      </c>
      <c r="N104" s="425" t="s">
        <v>5</v>
      </c>
      <c r="O104" s="397">
        <f>L104*C104</f>
        <v>47000</v>
      </c>
    </row>
    <row r="105" spans="1:15">
      <c r="B105" s="424" t="s">
        <v>377</v>
      </c>
      <c r="C105" s="970">
        <v>800</v>
      </c>
      <c r="D105" s="970"/>
      <c r="E105" s="390" t="s">
        <v>10</v>
      </c>
      <c r="I105" s="390"/>
      <c r="K105" s="396" t="s">
        <v>11</v>
      </c>
      <c r="L105" s="878">
        <v>174</v>
      </c>
      <c r="M105" s="390" t="s">
        <v>14</v>
      </c>
      <c r="N105" s="425" t="s">
        <v>5</v>
      </c>
      <c r="O105" s="397">
        <f>L105*C105</f>
        <v>139200</v>
      </c>
    </row>
    <row r="106" spans="1:15" ht="21.75" customHeight="1">
      <c r="B106" s="424" t="s">
        <v>378</v>
      </c>
      <c r="C106" s="970">
        <v>2200</v>
      </c>
      <c r="D106" s="970"/>
      <c r="E106" s="390" t="s">
        <v>10</v>
      </c>
      <c r="I106" s="390"/>
      <c r="K106" s="396" t="s">
        <v>11</v>
      </c>
      <c r="L106" s="878">
        <v>309</v>
      </c>
      <c r="M106" s="390" t="s">
        <v>14</v>
      </c>
      <c r="N106" s="425" t="s">
        <v>5</v>
      </c>
      <c r="O106" s="397">
        <f>L106*C106</f>
        <v>679800</v>
      </c>
    </row>
    <row r="107" spans="1:15">
      <c r="A107" s="877">
        <v>4</v>
      </c>
      <c r="B107" s="384" t="s">
        <v>195</v>
      </c>
      <c r="E107" s="395"/>
      <c r="I107" s="395"/>
      <c r="O107" s="882"/>
    </row>
    <row r="108" spans="1:15">
      <c r="A108" s="877"/>
      <c r="B108" s="384" t="s">
        <v>379</v>
      </c>
      <c r="E108" s="395"/>
      <c r="I108" s="395"/>
      <c r="O108" s="882"/>
    </row>
    <row r="109" spans="1:15">
      <c r="A109" s="877"/>
      <c r="B109" s="426">
        <v>106</v>
      </c>
      <c r="C109" s="971" t="s">
        <v>167</v>
      </c>
      <c r="D109" s="971"/>
      <c r="E109" s="390"/>
      <c r="K109" s="396" t="s">
        <v>11</v>
      </c>
      <c r="L109" s="401">
        <v>11948.36</v>
      </c>
      <c r="M109" s="390" t="s">
        <v>12</v>
      </c>
      <c r="N109" s="396" t="s">
        <v>5</v>
      </c>
      <c r="O109" s="397">
        <f>B109*L109/100</f>
        <v>12665.261600000002</v>
      </c>
    </row>
    <row r="110" spans="1:15">
      <c r="A110" s="877"/>
      <c r="B110" s="426"/>
      <c r="C110" s="427"/>
      <c r="D110" s="427"/>
      <c r="E110" s="390"/>
      <c r="K110" s="396"/>
      <c r="L110" s="401"/>
      <c r="M110" s="390"/>
      <c r="N110" s="396"/>
      <c r="O110" s="397"/>
    </row>
    <row r="111" spans="1:15">
      <c r="A111" s="875">
        <v>5</v>
      </c>
      <c r="B111" s="384" t="s">
        <v>380</v>
      </c>
      <c r="O111" s="882"/>
    </row>
    <row r="112" spans="1:15" ht="21.75" customHeight="1">
      <c r="B112" s="432">
        <v>12450</v>
      </c>
      <c r="C112" s="390" t="s">
        <v>8</v>
      </c>
      <c r="D112" s="390"/>
      <c r="E112" s="390"/>
      <c r="F112" s="390"/>
      <c r="G112" s="390"/>
      <c r="H112" s="390"/>
      <c r="I112" s="390"/>
      <c r="J112" s="390"/>
      <c r="K112" s="396" t="s">
        <v>11</v>
      </c>
      <c r="L112" s="878">
        <v>2283.9299999999998</v>
      </c>
      <c r="M112" s="390" t="s">
        <v>7</v>
      </c>
      <c r="N112" s="390" t="s">
        <v>5</v>
      </c>
      <c r="O112" s="397">
        <f>B112*L112/100</f>
        <v>284349.28499999997</v>
      </c>
    </row>
    <row r="113" spans="1:15">
      <c r="B113" s="401"/>
      <c r="C113" s="390"/>
      <c r="D113" s="390"/>
      <c r="E113" s="390"/>
      <c r="F113" s="390"/>
      <c r="G113" s="390"/>
      <c r="H113" s="390"/>
      <c r="I113" s="390"/>
      <c r="J113" s="390"/>
      <c r="K113" s="396"/>
      <c r="L113" s="393"/>
      <c r="M113" s="390"/>
      <c r="N113" s="390"/>
      <c r="O113" s="397"/>
    </row>
    <row r="114" spans="1:15">
      <c r="A114" s="967">
        <v>6</v>
      </c>
      <c r="B114" s="384" t="s">
        <v>13</v>
      </c>
      <c r="O114" s="882"/>
    </row>
    <row r="115" spans="1:15">
      <c r="A115" s="967"/>
      <c r="B115" s="384" t="s">
        <v>381</v>
      </c>
      <c r="O115" s="882"/>
    </row>
    <row r="116" spans="1:15">
      <c r="A116" s="967"/>
      <c r="B116" s="384" t="s">
        <v>382</v>
      </c>
      <c r="O116" s="882"/>
    </row>
    <row r="117" spans="1:15">
      <c r="A117" s="967"/>
      <c r="B117" s="384" t="s">
        <v>383</v>
      </c>
      <c r="O117" s="882"/>
    </row>
    <row r="118" spans="1:15">
      <c r="A118" s="967"/>
      <c r="B118" s="384" t="s">
        <v>384</v>
      </c>
      <c r="O118" s="882"/>
    </row>
    <row r="119" spans="1:15">
      <c r="A119" s="967"/>
      <c r="B119" s="384" t="s">
        <v>385</v>
      </c>
      <c r="O119" s="882"/>
    </row>
    <row r="120" spans="1:15">
      <c r="A120" s="967"/>
      <c r="B120" s="384" t="s">
        <v>386</v>
      </c>
      <c r="O120" s="882"/>
    </row>
    <row r="121" spans="1:15">
      <c r="A121" s="967"/>
      <c r="B121" s="384" t="s">
        <v>387</v>
      </c>
      <c r="O121" s="882"/>
    </row>
    <row r="122" spans="1:15">
      <c r="A122" s="967"/>
      <c r="B122" s="384" t="s">
        <v>388</v>
      </c>
      <c r="O122" s="882"/>
    </row>
    <row r="123" spans="1:15">
      <c r="B123" s="401">
        <v>1251.31</v>
      </c>
      <c r="C123" s="390"/>
      <c r="D123" s="390" t="s">
        <v>6</v>
      </c>
      <c r="E123" s="390"/>
      <c r="F123" s="390"/>
      <c r="G123" s="390"/>
      <c r="H123" s="390"/>
      <c r="I123" s="390"/>
      <c r="J123" s="390"/>
      <c r="K123" s="429" t="str">
        <f>K112</f>
        <v xml:space="preserve"> @Rs</v>
      </c>
      <c r="L123" s="878">
        <v>337</v>
      </c>
      <c r="M123" s="390" t="s">
        <v>389</v>
      </c>
      <c r="N123" s="390" t="s">
        <v>5</v>
      </c>
      <c r="O123" s="397">
        <f>B123*L123</f>
        <v>421691.47</v>
      </c>
    </row>
    <row r="124" spans="1:15">
      <c r="B124" s="403"/>
      <c r="C124" s="390"/>
      <c r="D124" s="390"/>
      <c r="E124" s="390"/>
      <c r="F124" s="390"/>
      <c r="G124" s="390"/>
      <c r="H124" s="390"/>
      <c r="I124" s="390"/>
      <c r="J124" s="390"/>
      <c r="K124" s="429"/>
      <c r="L124" s="393"/>
      <c r="M124" s="390"/>
      <c r="N124" s="390"/>
      <c r="O124" s="397"/>
    </row>
    <row r="125" spans="1:15">
      <c r="A125" s="972">
        <v>7</v>
      </c>
      <c r="B125" s="384" t="s">
        <v>390</v>
      </c>
      <c r="O125" s="882"/>
    </row>
    <row r="126" spans="1:15">
      <c r="A126" s="972"/>
      <c r="B126" s="384" t="s">
        <v>391</v>
      </c>
      <c r="O126" s="882"/>
    </row>
    <row r="127" spans="1:15">
      <c r="A127" s="972"/>
      <c r="B127" s="384" t="s">
        <v>392</v>
      </c>
      <c r="O127" s="882"/>
    </row>
    <row r="128" spans="1:15">
      <c r="A128" s="972"/>
      <c r="B128" s="384" t="s">
        <v>393</v>
      </c>
      <c r="O128" s="882"/>
    </row>
    <row r="129" spans="1:16">
      <c r="B129" s="401">
        <v>44.69</v>
      </c>
      <c r="C129" s="390" t="s">
        <v>9</v>
      </c>
      <c r="D129" s="390"/>
      <c r="E129" s="390"/>
      <c r="F129" s="390"/>
      <c r="G129" s="390"/>
      <c r="H129" s="390"/>
      <c r="I129" s="390"/>
      <c r="J129" s="390"/>
      <c r="K129" s="429" t="s">
        <v>11</v>
      </c>
      <c r="L129" s="878">
        <v>5001.7</v>
      </c>
      <c r="M129" s="390" t="s">
        <v>394</v>
      </c>
      <c r="N129" s="390" t="s">
        <v>5</v>
      </c>
      <c r="O129" s="397">
        <f>L129*B129</f>
        <v>223525.97299999997</v>
      </c>
    </row>
    <row r="130" spans="1:16">
      <c r="B130" s="401"/>
      <c r="C130" s="390"/>
      <c r="D130" s="390"/>
      <c r="E130" s="390"/>
      <c r="F130" s="390"/>
      <c r="G130" s="390"/>
      <c r="H130" s="390"/>
      <c r="I130" s="390"/>
      <c r="J130" s="390"/>
      <c r="K130" s="429"/>
      <c r="L130" s="393"/>
      <c r="M130" s="390"/>
      <c r="N130" s="390"/>
      <c r="O130" s="397"/>
    </row>
    <row r="131" spans="1:16">
      <c r="A131" s="967">
        <v>8</v>
      </c>
      <c r="B131" s="384" t="s">
        <v>303</v>
      </c>
      <c r="D131" s="390"/>
      <c r="E131" s="390"/>
      <c r="F131" s="390"/>
      <c r="G131" s="390"/>
      <c r="H131" s="390"/>
      <c r="I131" s="390"/>
      <c r="J131" s="390"/>
      <c r="K131" s="390"/>
      <c r="L131" s="390"/>
      <c r="M131" s="390"/>
      <c r="N131" s="390"/>
      <c r="O131" s="397"/>
    </row>
    <row r="132" spans="1:16">
      <c r="A132" s="967"/>
      <c r="B132" s="384" t="s">
        <v>304</v>
      </c>
      <c r="D132" s="390"/>
      <c r="E132" s="390"/>
      <c r="F132" s="390"/>
      <c r="G132" s="390"/>
      <c r="H132" s="390"/>
      <c r="I132" s="417"/>
      <c r="J132" s="390"/>
      <c r="K132" s="390"/>
      <c r="L132" s="390"/>
      <c r="M132" s="390"/>
      <c r="N132" s="390"/>
      <c r="O132" s="397"/>
    </row>
    <row r="133" spans="1:16">
      <c r="A133" s="967"/>
      <c r="B133" s="384" t="s">
        <v>395</v>
      </c>
      <c r="D133" s="390"/>
      <c r="E133" s="390"/>
      <c r="F133" s="390"/>
      <c r="G133" s="390"/>
      <c r="H133" s="390"/>
      <c r="I133" s="390"/>
      <c r="J133" s="390"/>
      <c r="K133" s="390"/>
      <c r="L133" s="390"/>
      <c r="M133" s="390"/>
      <c r="N133" s="390"/>
      <c r="O133" s="397"/>
    </row>
    <row r="134" spans="1:16">
      <c r="A134" s="787"/>
      <c r="B134" s="401"/>
      <c r="C134" s="390"/>
      <c r="D134" s="390"/>
      <c r="E134" s="390"/>
      <c r="F134" s="390"/>
      <c r="G134" s="390"/>
      <c r="H134" s="390"/>
      <c r="I134" s="788"/>
      <c r="J134" s="390"/>
      <c r="K134" s="401"/>
      <c r="L134" s="390"/>
      <c r="M134" s="390"/>
      <c r="N134" s="390"/>
      <c r="O134" s="397"/>
    </row>
    <row r="135" spans="1:16">
      <c r="A135" s="787"/>
      <c r="B135" s="401">
        <v>157.94</v>
      </c>
      <c r="C135" s="390"/>
      <c r="D135" s="390" t="s">
        <v>6</v>
      </c>
      <c r="E135" s="390"/>
      <c r="F135" s="390"/>
      <c r="G135" s="390"/>
      <c r="H135" s="390"/>
      <c r="I135" s="390"/>
      <c r="J135" s="390"/>
      <c r="K135" s="430" t="s">
        <v>396</v>
      </c>
      <c r="L135" s="791">
        <v>14429.25</v>
      </c>
      <c r="M135" s="390" t="s">
        <v>12</v>
      </c>
      <c r="N135" s="431" t="s">
        <v>5</v>
      </c>
      <c r="O135" s="410">
        <f>B135*L135/100</f>
        <v>22789.55745</v>
      </c>
      <c r="P135" s="411"/>
    </row>
    <row r="136" spans="1:16" ht="23.25" customHeight="1">
      <c r="L136" s="390" t="s">
        <v>185</v>
      </c>
      <c r="M136" s="411"/>
      <c r="N136" s="412" t="s">
        <v>5</v>
      </c>
      <c r="O136" s="413">
        <f>SUM(O95:O135)</f>
        <v>2279169.3501750003</v>
      </c>
    </row>
    <row r="137" spans="1:16">
      <c r="A137" s="390"/>
      <c r="B137" s="391" t="s">
        <v>758</v>
      </c>
      <c r="C137" s="876"/>
      <c r="D137" s="876"/>
      <c r="E137" s="876"/>
      <c r="F137" s="876"/>
      <c r="G137" s="876"/>
      <c r="H137" s="876"/>
      <c r="I137" s="876"/>
      <c r="J137" s="876"/>
      <c r="K137" s="876"/>
      <c r="L137" s="390"/>
      <c r="M137" s="390"/>
      <c r="N137" s="390"/>
      <c r="O137" s="393"/>
    </row>
    <row r="138" spans="1:16">
      <c r="A138" s="877">
        <v>1</v>
      </c>
      <c r="B138" s="384" t="s">
        <v>346</v>
      </c>
      <c r="E138" s="395"/>
      <c r="I138" s="395"/>
      <c r="K138" s="396"/>
      <c r="L138" s="390"/>
      <c r="M138" s="390"/>
      <c r="N138" s="390"/>
      <c r="O138" s="397"/>
    </row>
    <row r="139" spans="1:16">
      <c r="A139" s="877"/>
      <c r="B139" s="384" t="s">
        <v>347</v>
      </c>
      <c r="E139" s="395"/>
      <c r="I139" s="395"/>
      <c r="K139" s="396"/>
      <c r="L139" s="390"/>
      <c r="M139" s="390"/>
      <c r="N139" s="390"/>
      <c r="O139" s="397"/>
    </row>
    <row r="140" spans="1:16">
      <c r="A140" s="877"/>
      <c r="B140" s="432">
        <v>15800</v>
      </c>
      <c r="C140" s="390" t="s">
        <v>6</v>
      </c>
      <c r="I140" s="390"/>
      <c r="K140" s="396" t="s">
        <v>11</v>
      </c>
      <c r="L140" s="878">
        <v>2117.5</v>
      </c>
      <c r="M140" s="390" t="s">
        <v>1</v>
      </c>
      <c r="N140" s="396" t="s">
        <v>5</v>
      </c>
      <c r="O140" s="397">
        <f>L140*B140/1000</f>
        <v>33456.5</v>
      </c>
    </row>
    <row r="141" spans="1:16">
      <c r="A141" s="877"/>
      <c r="B141" s="432"/>
      <c r="C141" s="390"/>
      <c r="I141" s="390"/>
      <c r="K141" s="396"/>
      <c r="L141" s="878"/>
      <c r="M141" s="390"/>
      <c r="N141" s="396"/>
      <c r="O141" s="397"/>
    </row>
    <row r="142" spans="1:16">
      <c r="A142" s="877">
        <v>2</v>
      </c>
      <c r="B142" s="384" t="s">
        <v>348</v>
      </c>
      <c r="E142" s="395"/>
      <c r="I142" s="395"/>
      <c r="K142" s="396"/>
      <c r="L142" s="393"/>
      <c r="M142" s="390"/>
      <c r="N142" s="390"/>
      <c r="O142" s="397"/>
    </row>
    <row r="143" spans="1:16">
      <c r="A143" s="877"/>
      <c r="B143" s="384" t="s">
        <v>349</v>
      </c>
      <c r="E143" s="395"/>
      <c r="I143" s="395"/>
      <c r="K143" s="396"/>
      <c r="L143" s="393"/>
      <c r="M143" s="390"/>
      <c r="N143" s="390"/>
      <c r="O143" s="397"/>
    </row>
    <row r="144" spans="1:16">
      <c r="A144" s="877"/>
      <c r="B144" s="403">
        <f>B140</f>
        <v>15800</v>
      </c>
      <c r="C144" s="390" t="s">
        <v>6</v>
      </c>
      <c r="D144" s="390"/>
      <c r="K144" s="396" t="s">
        <v>11</v>
      </c>
      <c r="L144" s="878">
        <v>263</v>
      </c>
      <c r="M144" s="390" t="s">
        <v>1</v>
      </c>
      <c r="N144" s="396" t="s">
        <v>5</v>
      </c>
      <c r="O144" s="397">
        <f>L144*B144/1000</f>
        <v>4155.3999999999996</v>
      </c>
    </row>
    <row r="145" spans="1:16" ht="11.25" customHeight="1">
      <c r="A145" s="877"/>
      <c r="B145" s="403"/>
      <c r="C145" s="390"/>
      <c r="D145" s="390"/>
      <c r="K145" s="396"/>
      <c r="L145" s="878"/>
      <c r="M145" s="390"/>
      <c r="N145" s="396"/>
      <c r="O145" s="397"/>
    </row>
    <row r="146" spans="1:16">
      <c r="A146" s="877">
        <v>3</v>
      </c>
      <c r="B146" s="404" t="s">
        <v>351</v>
      </c>
      <c r="C146" s="390"/>
      <c r="D146" s="390"/>
      <c r="H146" s="390"/>
      <c r="K146" s="396"/>
      <c r="L146" s="878"/>
      <c r="M146" s="390"/>
      <c r="N146" s="396"/>
      <c r="O146" s="405"/>
    </row>
    <row r="147" spans="1:16">
      <c r="A147" s="877"/>
      <c r="B147" s="432">
        <f>B144</f>
        <v>15800</v>
      </c>
      <c r="C147" s="390" t="s">
        <v>6</v>
      </c>
      <c r="D147" s="390"/>
      <c r="K147" s="396" t="s">
        <v>11</v>
      </c>
      <c r="L147" s="878">
        <v>5039</v>
      </c>
      <c r="M147" s="390" t="s">
        <v>1</v>
      </c>
      <c r="N147" s="396" t="s">
        <v>5</v>
      </c>
      <c r="O147" s="397">
        <f>L147*B147/1000</f>
        <v>79616.2</v>
      </c>
    </row>
    <row r="148" spans="1:16" ht="10.5" customHeight="1">
      <c r="A148" s="877"/>
      <c r="E148" s="395"/>
      <c r="I148" s="395"/>
      <c r="K148" s="396"/>
      <c r="L148" s="393"/>
      <c r="M148" s="390"/>
      <c r="N148" s="390"/>
      <c r="O148" s="397"/>
    </row>
    <row r="149" spans="1:16">
      <c r="A149" s="877">
        <v>4</v>
      </c>
      <c r="B149" s="384" t="s">
        <v>358</v>
      </c>
      <c r="E149" s="395"/>
      <c r="I149" s="395"/>
      <c r="K149" s="396"/>
      <c r="L149" s="393"/>
      <c r="M149" s="390"/>
      <c r="N149" s="390"/>
      <c r="O149" s="397"/>
    </row>
    <row r="150" spans="1:16">
      <c r="A150" s="877"/>
      <c r="B150" s="384" t="s">
        <v>359</v>
      </c>
      <c r="E150" s="395"/>
      <c r="I150" s="395"/>
      <c r="K150" s="396"/>
      <c r="L150" s="393"/>
      <c r="M150" s="390"/>
      <c r="N150" s="390"/>
      <c r="O150" s="397"/>
    </row>
    <row r="151" spans="1:16">
      <c r="A151" s="877"/>
      <c r="B151" s="403">
        <v>5214</v>
      </c>
      <c r="C151" s="390" t="s">
        <v>6</v>
      </c>
      <c r="D151" s="390"/>
      <c r="H151" s="390"/>
      <c r="K151" s="396" t="s">
        <v>11</v>
      </c>
      <c r="L151" s="878">
        <v>9416.2800000000007</v>
      </c>
      <c r="M151" s="390" t="s">
        <v>360</v>
      </c>
      <c r="N151" s="396" t="s">
        <v>5</v>
      </c>
      <c r="O151" s="397">
        <f>L151*B151/100</f>
        <v>490964.83920000005</v>
      </c>
    </row>
    <row r="152" spans="1:16">
      <c r="A152" s="877">
        <v>5</v>
      </c>
      <c r="B152" s="384" t="s">
        <v>361</v>
      </c>
      <c r="E152" s="395"/>
      <c r="I152" s="395"/>
      <c r="K152" s="396"/>
      <c r="L152" s="393"/>
      <c r="M152" s="390"/>
      <c r="N152" s="390"/>
      <c r="O152" s="397"/>
    </row>
    <row r="153" spans="1:16">
      <c r="A153" s="877"/>
      <c r="B153" s="384" t="s">
        <v>362</v>
      </c>
      <c r="E153" s="395"/>
      <c r="I153" s="395"/>
      <c r="K153" s="396"/>
      <c r="L153" s="393"/>
      <c r="M153" s="390"/>
      <c r="N153" s="390"/>
      <c r="O153" s="397"/>
    </row>
    <row r="154" spans="1:16">
      <c r="A154" s="877"/>
      <c r="B154" s="384" t="s">
        <v>363</v>
      </c>
      <c r="E154" s="395"/>
      <c r="I154" s="395"/>
      <c r="K154" s="396"/>
      <c r="L154" s="393"/>
      <c r="M154" s="390"/>
      <c r="N154" s="390"/>
      <c r="O154" s="397"/>
    </row>
    <row r="155" spans="1:16">
      <c r="A155" s="877"/>
      <c r="B155" s="403">
        <v>3950</v>
      </c>
      <c r="C155" s="390" t="s">
        <v>6</v>
      </c>
      <c r="D155" s="390"/>
      <c r="H155" s="390"/>
      <c r="K155" s="396" t="s">
        <v>11</v>
      </c>
      <c r="L155" s="878">
        <v>14429.25</v>
      </c>
      <c r="M155" s="390" t="s">
        <v>360</v>
      </c>
      <c r="N155" s="396" t="s">
        <v>5</v>
      </c>
      <c r="O155" s="397">
        <f>L155*B155/100</f>
        <v>569955.375</v>
      </c>
      <c r="P155" s="878"/>
    </row>
    <row r="156" spans="1:16" ht="12.75" customHeight="1">
      <c r="A156" s="877"/>
      <c r="E156" s="395"/>
      <c r="I156" s="395"/>
      <c r="K156" s="396"/>
      <c r="L156" s="393"/>
      <c r="M156" s="390"/>
      <c r="N156" s="390"/>
      <c r="O156" s="397"/>
    </row>
    <row r="157" spans="1:16">
      <c r="A157" s="877">
        <v>6</v>
      </c>
      <c r="B157" s="384" t="s">
        <v>364</v>
      </c>
      <c r="E157" s="395"/>
      <c r="I157" s="395"/>
      <c r="K157" s="396"/>
      <c r="L157" s="393"/>
      <c r="M157" s="390"/>
      <c r="N157" s="390"/>
      <c r="O157" s="397"/>
    </row>
    <row r="158" spans="1:16">
      <c r="A158" s="877"/>
      <c r="B158" s="384" t="s">
        <v>365</v>
      </c>
      <c r="E158" s="395"/>
      <c r="I158" s="395"/>
      <c r="K158" s="396"/>
      <c r="L158" s="393"/>
      <c r="M158" s="390"/>
      <c r="N158" s="390"/>
      <c r="O158" s="397"/>
    </row>
    <row r="159" spans="1:16">
      <c r="A159" s="877"/>
      <c r="B159" s="384" t="s">
        <v>366</v>
      </c>
      <c r="E159" s="395"/>
      <c r="I159" s="395"/>
      <c r="K159" s="396"/>
      <c r="L159" s="393"/>
      <c r="M159" s="390"/>
      <c r="N159" s="390"/>
      <c r="O159" s="397"/>
    </row>
    <row r="160" spans="1:16">
      <c r="A160" s="877"/>
      <c r="B160" s="401">
        <v>300</v>
      </c>
      <c r="C160" s="390" t="s">
        <v>187</v>
      </c>
      <c r="D160" s="390"/>
      <c r="H160" s="390"/>
      <c r="K160" s="396" t="s">
        <v>11</v>
      </c>
      <c r="L160" s="878">
        <v>3127.41</v>
      </c>
      <c r="M160" s="390" t="s">
        <v>367</v>
      </c>
      <c r="N160" s="409" t="s">
        <v>5</v>
      </c>
      <c r="O160" s="410">
        <f>L160*B160/100</f>
        <v>9382.23</v>
      </c>
    </row>
    <row r="161" spans="2:15" ht="22.5" customHeight="1">
      <c r="L161" s="390" t="s">
        <v>185</v>
      </c>
      <c r="M161" s="411"/>
      <c r="N161" s="412" t="s">
        <v>5</v>
      </c>
      <c r="O161" s="413">
        <f>SUM(O140:O160)</f>
        <v>1187530.5441999999</v>
      </c>
    </row>
    <row r="163" spans="2:15" s="1102" customFormat="1" ht="23.25" customHeight="1">
      <c r="E163" s="1103" t="s">
        <v>801</v>
      </c>
      <c r="F163" s="1103"/>
      <c r="G163" s="1103"/>
      <c r="L163" s="1103"/>
      <c r="M163" s="1104"/>
      <c r="N163" s="1105"/>
      <c r="O163" s="1106"/>
    </row>
    <row r="164" spans="2:15" s="1071" customFormat="1" ht="23.25" customHeight="1">
      <c r="B164" s="1076" t="s">
        <v>341</v>
      </c>
      <c r="C164" s="1077" t="s">
        <v>802</v>
      </c>
      <c r="D164" s="1077"/>
      <c r="E164" s="1077"/>
      <c r="F164" s="1077"/>
      <c r="G164" s="1078" t="s">
        <v>803</v>
      </c>
      <c r="H164" s="1079"/>
      <c r="I164" s="1079"/>
      <c r="J164" s="1079"/>
      <c r="K164" s="1080"/>
      <c r="L164" s="1078" t="s">
        <v>804</v>
      </c>
      <c r="M164" s="1080"/>
      <c r="N164" s="1081" t="s">
        <v>185</v>
      </c>
      <c r="O164" s="1081"/>
    </row>
    <row r="165" spans="2:15" s="1082" customFormat="1" ht="23.25" customHeight="1">
      <c r="B165" s="1083">
        <v>1</v>
      </c>
      <c r="C165" s="1084" t="s">
        <v>812</v>
      </c>
      <c r="D165" s="1085"/>
      <c r="E165" s="1085"/>
      <c r="F165" s="1086"/>
      <c r="G165" s="1087">
        <f>O89</f>
        <v>11063345.1468</v>
      </c>
      <c r="H165" s="1088"/>
      <c r="I165" s="1088"/>
      <c r="J165" s="1088"/>
      <c r="K165" s="1088"/>
      <c r="L165" s="1088">
        <v>0</v>
      </c>
      <c r="M165" s="1088"/>
      <c r="N165" s="1089" t="s">
        <v>5</v>
      </c>
      <c r="O165" s="1090">
        <f>G165+L165</f>
        <v>11063345.1468</v>
      </c>
    </row>
    <row r="166" spans="2:15" s="1082" customFormat="1" ht="23.25" customHeight="1">
      <c r="B166" s="1083">
        <v>2</v>
      </c>
      <c r="C166" s="1084" t="s">
        <v>814</v>
      </c>
      <c r="D166" s="1085"/>
      <c r="E166" s="1085"/>
      <c r="F166" s="1086"/>
      <c r="G166" s="1087">
        <f>O136</f>
        <v>2279169.3501750003</v>
      </c>
      <c r="H166" s="1088"/>
      <c r="I166" s="1088"/>
      <c r="J166" s="1088"/>
      <c r="K166" s="1088"/>
      <c r="L166" s="1087">
        <v>0</v>
      </c>
      <c r="M166" s="1088"/>
      <c r="N166" s="1089" t="s">
        <v>5</v>
      </c>
      <c r="O166" s="1090">
        <f>G166+L166</f>
        <v>2279169.3501750003</v>
      </c>
    </row>
    <row r="167" spans="2:15" s="1082" customFormat="1" ht="23.25" customHeight="1">
      <c r="B167" s="1083">
        <v>3</v>
      </c>
      <c r="C167" s="1084" t="s">
        <v>813</v>
      </c>
      <c r="D167" s="1085"/>
      <c r="E167" s="1085"/>
      <c r="F167" s="1086"/>
      <c r="G167" s="1087">
        <f>O161</f>
        <v>1187530.5441999999</v>
      </c>
      <c r="H167" s="1088"/>
      <c r="I167" s="1088"/>
      <c r="J167" s="1088"/>
      <c r="K167" s="1088"/>
      <c r="L167" s="1087">
        <v>0</v>
      </c>
      <c r="M167" s="1088"/>
      <c r="N167" s="1089" t="s">
        <v>5</v>
      </c>
      <c r="O167" s="1090">
        <f>G167</f>
        <v>1187530.5441999999</v>
      </c>
    </row>
    <row r="168" spans="2:15" s="240" customFormat="1" ht="23.25" customHeight="1">
      <c r="B168" s="1091"/>
      <c r="C168" s="1092" t="s">
        <v>805</v>
      </c>
      <c r="D168" s="1093"/>
      <c r="E168" s="1093"/>
      <c r="F168" s="1094"/>
      <c r="G168" s="1087">
        <f>SUM(G165:G167)</f>
        <v>14530045.041175</v>
      </c>
      <c r="H168" s="1088"/>
      <c r="I168" s="1088"/>
      <c r="J168" s="1088"/>
      <c r="K168" s="1088"/>
      <c r="L168" s="1095">
        <f>L166</f>
        <v>0</v>
      </c>
      <c r="M168" s="1081"/>
      <c r="N168" s="1096" t="s">
        <v>5</v>
      </c>
      <c r="O168" s="1097">
        <f>SUM(O165:O167)</f>
        <v>14530045.041175</v>
      </c>
    </row>
    <row r="169" spans="2:15" s="1071" customFormat="1" ht="23.25" customHeight="1">
      <c r="B169" s="1071" t="s">
        <v>806</v>
      </c>
      <c r="L169" s="1072"/>
      <c r="M169" s="1073"/>
      <c r="N169" s="1074"/>
      <c r="O169" s="1075"/>
    </row>
    <row r="170" spans="2:15" s="1071" customFormat="1" ht="23.25" customHeight="1">
      <c r="B170" s="1098" t="s">
        <v>807</v>
      </c>
      <c r="K170" s="1099" t="s">
        <v>808</v>
      </c>
      <c r="L170" s="1099"/>
      <c r="M170" s="1099"/>
      <c r="N170" s="1099"/>
      <c r="O170" s="1099"/>
    </row>
    <row r="171" spans="2:15" s="1071" customFormat="1" ht="23.25" customHeight="1">
      <c r="K171" s="1099" t="s">
        <v>809</v>
      </c>
      <c r="L171" s="1099"/>
      <c r="M171" s="1099"/>
      <c r="N171" s="1099"/>
      <c r="O171" s="1099"/>
    </row>
    <row r="172" spans="2:15" s="1071" customFormat="1" ht="23.25" customHeight="1">
      <c r="D172" s="1071" t="s">
        <v>810</v>
      </c>
      <c r="L172" s="1072"/>
      <c r="M172" s="1073"/>
      <c r="N172" s="1074"/>
      <c r="O172" s="1075"/>
    </row>
    <row r="173" spans="2:15" s="240" customFormat="1" ht="23.25" customHeight="1">
      <c r="O173" s="241"/>
    </row>
    <row r="174" spans="2:15" s="240" customFormat="1" ht="18" customHeight="1">
      <c r="O174" s="241"/>
    </row>
    <row r="175" spans="2:15" s="240" customFormat="1" ht="15.75" customHeight="1">
      <c r="B175" s="240" t="s">
        <v>811</v>
      </c>
      <c r="K175" s="942" t="s">
        <v>333</v>
      </c>
      <c r="L175" s="942"/>
      <c r="M175" s="942"/>
      <c r="N175" s="942"/>
      <c r="O175" s="241"/>
    </row>
    <row r="176" spans="2:15" s="240" customFormat="1" ht="15.75" customHeight="1">
      <c r="K176" s="942" t="s">
        <v>335</v>
      </c>
      <c r="L176" s="942"/>
      <c r="M176" s="942"/>
      <c r="N176" s="942"/>
      <c r="O176" s="241"/>
    </row>
    <row r="177" spans="11:15" s="1071" customFormat="1" ht="15.75" customHeight="1">
      <c r="K177" s="942" t="s">
        <v>236</v>
      </c>
      <c r="L177" s="942"/>
      <c r="M177" s="942"/>
      <c r="N177" s="942"/>
      <c r="O177" s="1100"/>
    </row>
  </sheetData>
  <mergeCells count="50">
    <mergeCell ref="K170:O170"/>
    <mergeCell ref="K171:O171"/>
    <mergeCell ref="K175:N175"/>
    <mergeCell ref="K176:N176"/>
    <mergeCell ref="K177:N177"/>
    <mergeCell ref="C167:F167"/>
    <mergeCell ref="G167:K167"/>
    <mergeCell ref="C168:F168"/>
    <mergeCell ref="G168:K168"/>
    <mergeCell ref="L168:M168"/>
    <mergeCell ref="L167:M167"/>
    <mergeCell ref="C165:F165"/>
    <mergeCell ref="G165:K165"/>
    <mergeCell ref="L165:M165"/>
    <mergeCell ref="C166:F166"/>
    <mergeCell ref="G166:K166"/>
    <mergeCell ref="L166:M166"/>
    <mergeCell ref="C164:F164"/>
    <mergeCell ref="G164:K164"/>
    <mergeCell ref="L164:M164"/>
    <mergeCell ref="N164:O164"/>
    <mergeCell ref="B87:E87"/>
    <mergeCell ref="C6:K6"/>
    <mergeCell ref="B8:E8"/>
    <mergeCell ref="B12:E12"/>
    <mergeCell ref="B15:E15"/>
    <mergeCell ref="B19:E19"/>
    <mergeCell ref="B28:E28"/>
    <mergeCell ref="B37:E37"/>
    <mergeCell ref="B41:E41"/>
    <mergeCell ref="B44:E44"/>
    <mergeCell ref="B50:E50"/>
    <mergeCell ref="B53:E53"/>
    <mergeCell ref="B67:E67"/>
    <mergeCell ref="B72:E72"/>
    <mergeCell ref="B76:E76"/>
    <mergeCell ref="B81:E81"/>
    <mergeCell ref="B58:E58"/>
    <mergeCell ref="A131:A133"/>
    <mergeCell ref="A1:O1"/>
    <mergeCell ref="C5:K5"/>
    <mergeCell ref="B103:L103"/>
    <mergeCell ref="C104:D104"/>
    <mergeCell ref="C105:D105"/>
    <mergeCell ref="C106:D106"/>
    <mergeCell ref="C109:D109"/>
    <mergeCell ref="A114:A122"/>
    <mergeCell ref="A125:A128"/>
    <mergeCell ref="A3:C3"/>
    <mergeCell ref="D3:O3"/>
  </mergeCells>
  <pageMargins left="0.7" right="0.26" top="0.27" bottom="0.36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</sheetPr>
  <dimension ref="A1:R52"/>
  <sheetViews>
    <sheetView topLeftCell="A37" workbookViewId="0">
      <selection activeCell="P53" sqref="P53"/>
    </sheetView>
  </sheetViews>
  <sheetFormatPr defaultRowHeight="16.5"/>
  <cols>
    <col min="1" max="1" width="3.5703125" style="384" customWidth="1"/>
    <col min="2" max="2" width="9.42578125" style="384" customWidth="1"/>
    <col min="3" max="3" width="6.42578125" style="384" customWidth="1"/>
    <col min="4" max="4" width="5.42578125" style="384" customWidth="1"/>
    <col min="5" max="5" width="7.85546875" style="384" customWidth="1"/>
    <col min="6" max="6" width="3.85546875" style="384" customWidth="1"/>
    <col min="7" max="7" width="5.42578125" style="384" customWidth="1"/>
    <col min="8" max="8" width="4.42578125" style="384" customWidth="1"/>
    <col min="9" max="9" width="6.28515625" style="384" customWidth="1"/>
    <col min="10" max="10" width="4.28515625" style="384" customWidth="1"/>
    <col min="11" max="11" width="10.7109375" style="384" customWidth="1"/>
    <col min="12" max="12" width="9.5703125" style="384" customWidth="1"/>
    <col min="13" max="13" width="7.7109375" style="384" customWidth="1"/>
    <col min="14" max="14" width="2.85546875" style="384" customWidth="1"/>
    <col min="15" max="15" width="11.140625" style="408" customWidth="1"/>
    <col min="16" max="16" width="9.140625" style="384"/>
    <col min="17" max="17" width="9" style="384" customWidth="1"/>
    <col min="18" max="18" width="9.140625" style="384" hidden="1" customWidth="1"/>
    <col min="19" max="16384" width="9.140625" style="384"/>
  </cols>
  <sheetData>
    <row r="1" spans="1:15">
      <c r="A1" s="974" t="s">
        <v>339</v>
      </c>
      <c r="B1" s="974"/>
      <c r="C1" s="974"/>
      <c r="D1" s="974"/>
      <c r="E1" s="974"/>
      <c r="F1" s="974"/>
      <c r="G1" s="974"/>
      <c r="H1" s="974"/>
      <c r="I1" s="974"/>
      <c r="J1" s="974"/>
      <c r="K1" s="974"/>
      <c r="L1" s="974"/>
      <c r="M1" s="974"/>
      <c r="N1" s="974"/>
      <c r="O1" s="974"/>
    </row>
    <row r="2" spans="1:15">
      <c r="A2" s="385" t="s">
        <v>341</v>
      </c>
      <c r="B2" s="789" t="s">
        <v>342</v>
      </c>
      <c r="C2" s="968" t="s">
        <v>343</v>
      </c>
      <c r="D2" s="968"/>
      <c r="E2" s="968"/>
      <c r="F2" s="968"/>
      <c r="G2" s="968"/>
      <c r="H2" s="968"/>
      <c r="I2" s="968"/>
      <c r="J2" s="968"/>
      <c r="K2" s="968"/>
      <c r="L2" s="789" t="s">
        <v>0</v>
      </c>
      <c r="M2" s="387" t="s">
        <v>344</v>
      </c>
      <c r="N2" s="388"/>
      <c r="O2" s="389" t="s">
        <v>345</v>
      </c>
    </row>
    <row r="3" spans="1:15">
      <c r="A3" s="390"/>
      <c r="B3" s="391" t="s">
        <v>649</v>
      </c>
      <c r="C3" s="788"/>
      <c r="D3" s="788"/>
      <c r="E3" s="788"/>
      <c r="F3" s="788"/>
      <c r="G3" s="788"/>
      <c r="H3" s="788"/>
      <c r="I3" s="788"/>
      <c r="J3" s="788"/>
      <c r="K3" s="788"/>
      <c r="L3" s="390"/>
      <c r="M3" s="390"/>
      <c r="N3" s="390"/>
      <c r="O3" s="393"/>
    </row>
    <row r="4" spans="1:15">
      <c r="A4" s="792">
        <v>1</v>
      </c>
      <c r="B4" s="384" t="s">
        <v>346</v>
      </c>
      <c r="E4" s="395"/>
      <c r="I4" s="395"/>
      <c r="K4" s="396"/>
      <c r="L4" s="390"/>
      <c r="M4" s="390"/>
      <c r="N4" s="390"/>
      <c r="O4" s="397"/>
    </row>
    <row r="5" spans="1:15">
      <c r="A5" s="792"/>
      <c r="B5" s="384" t="s">
        <v>347</v>
      </c>
      <c r="E5" s="395"/>
      <c r="I5" s="395"/>
      <c r="K5" s="396"/>
      <c r="L5" s="390"/>
      <c r="M5" s="390"/>
      <c r="N5" s="390"/>
      <c r="O5" s="397"/>
    </row>
    <row r="6" spans="1:15">
      <c r="A6" s="792"/>
      <c r="C6" s="787">
        <v>1</v>
      </c>
      <c r="D6" s="787" t="s">
        <v>2</v>
      </c>
      <c r="E6" s="788">
        <v>99000</v>
      </c>
      <c r="F6" s="787" t="s">
        <v>2</v>
      </c>
      <c r="G6" s="787">
        <v>12</v>
      </c>
      <c r="H6" s="787" t="s">
        <v>2</v>
      </c>
      <c r="I6" s="793">
        <v>1</v>
      </c>
      <c r="J6" s="384" t="s">
        <v>3</v>
      </c>
      <c r="K6" s="788">
        <f>I6*G6*E6*C6</f>
        <v>1188000</v>
      </c>
      <c r="L6" s="390" t="s">
        <v>167</v>
      </c>
      <c r="M6" s="390"/>
      <c r="N6" s="390"/>
      <c r="O6" s="397"/>
    </row>
    <row r="7" spans="1:15">
      <c r="A7" s="792"/>
      <c r="C7" s="787">
        <v>1</v>
      </c>
      <c r="D7" s="787" t="s">
        <v>2</v>
      </c>
      <c r="E7" s="788">
        <v>60000</v>
      </c>
      <c r="F7" s="787" t="s">
        <v>2</v>
      </c>
      <c r="G7" s="787">
        <v>14</v>
      </c>
      <c r="H7" s="787" t="s">
        <v>2</v>
      </c>
      <c r="I7" s="793">
        <v>1</v>
      </c>
      <c r="J7" s="384" t="s">
        <v>3</v>
      </c>
      <c r="K7" s="788">
        <f>I7*G7*E7*C7</f>
        <v>840000</v>
      </c>
      <c r="L7" s="390" t="s">
        <v>167</v>
      </c>
      <c r="M7" s="390"/>
      <c r="N7" s="390"/>
      <c r="O7" s="397"/>
    </row>
    <row r="8" spans="1:15">
      <c r="A8" s="792"/>
      <c r="C8" s="787"/>
      <c r="D8" s="787"/>
      <c r="E8" s="788"/>
      <c r="F8" s="787"/>
      <c r="G8" s="787"/>
      <c r="H8" s="787"/>
      <c r="I8" s="793"/>
      <c r="J8" s="384" t="s">
        <v>21</v>
      </c>
      <c r="K8" s="788">
        <f>SUM(K6:K7)</f>
        <v>2028000</v>
      </c>
      <c r="L8" s="390"/>
      <c r="M8" s="390"/>
      <c r="N8" s="390"/>
      <c r="O8" s="397"/>
    </row>
    <row r="9" spans="1:15">
      <c r="A9" s="792"/>
      <c r="B9" s="384" t="s">
        <v>397</v>
      </c>
      <c r="C9" s="787"/>
      <c r="D9" s="787"/>
      <c r="E9" s="788"/>
      <c r="F9" s="787"/>
      <c r="G9" s="787"/>
      <c r="H9" s="787"/>
      <c r="I9" s="793"/>
      <c r="J9" s="384" t="s">
        <v>30</v>
      </c>
      <c r="K9" s="434">
        <f>Cartage!B14</f>
        <v>0</v>
      </c>
      <c r="L9" s="390" t="s">
        <v>167</v>
      </c>
      <c r="M9" s="390"/>
      <c r="N9" s="390"/>
      <c r="O9" s="397"/>
    </row>
    <row r="10" spans="1:15" ht="21.75" customHeight="1">
      <c r="A10" s="792"/>
      <c r="C10" s="787"/>
      <c r="D10" s="787"/>
      <c r="E10" s="788"/>
      <c r="F10" s="787"/>
      <c r="G10" s="787"/>
      <c r="H10" s="787"/>
      <c r="I10" s="793" t="s">
        <v>43</v>
      </c>
      <c r="J10" s="384" t="s">
        <v>21</v>
      </c>
      <c r="K10" s="790">
        <f>K6-K9</f>
        <v>1188000</v>
      </c>
      <c r="L10" s="390" t="s">
        <v>167</v>
      </c>
      <c r="M10" s="390"/>
      <c r="N10" s="390"/>
      <c r="O10" s="397"/>
    </row>
    <row r="11" spans="1:15">
      <c r="A11" s="792"/>
      <c r="B11" s="432">
        <f>K10</f>
        <v>1188000</v>
      </c>
      <c r="C11" s="390" t="s">
        <v>6</v>
      </c>
      <c r="I11" s="390"/>
      <c r="K11" s="396" t="s">
        <v>11</v>
      </c>
      <c r="L11" s="791">
        <v>2117.5</v>
      </c>
      <c r="M11" s="390" t="s">
        <v>1</v>
      </c>
      <c r="N11" s="396" t="s">
        <v>5</v>
      </c>
      <c r="O11" s="397">
        <f>L11*B11/1000</f>
        <v>2515590</v>
      </c>
    </row>
    <row r="12" spans="1:15">
      <c r="A12" s="792">
        <v>2</v>
      </c>
      <c r="B12" s="384" t="s">
        <v>348</v>
      </c>
      <c r="E12" s="395"/>
      <c r="I12" s="395"/>
      <c r="K12" s="396"/>
      <c r="L12" s="393"/>
      <c r="M12" s="390"/>
      <c r="N12" s="390"/>
      <c r="O12" s="397"/>
    </row>
    <row r="13" spans="1:15">
      <c r="A13" s="792"/>
      <c r="B13" s="384" t="s">
        <v>349</v>
      </c>
      <c r="E13" s="395"/>
      <c r="I13" s="395"/>
      <c r="K13" s="396"/>
      <c r="L13" s="393"/>
      <c r="M13" s="390"/>
      <c r="N13" s="390"/>
      <c r="O13" s="397"/>
    </row>
    <row r="14" spans="1:15">
      <c r="A14" s="792"/>
      <c r="B14" s="384" t="s">
        <v>350</v>
      </c>
      <c r="F14" s="787">
        <v>1</v>
      </c>
      <c r="I14" s="395"/>
      <c r="J14" s="384" t="s">
        <v>21</v>
      </c>
      <c r="K14" s="396">
        <f>K8</f>
        <v>2028000</v>
      </c>
      <c r="L14" s="393" t="s">
        <v>167</v>
      </c>
      <c r="M14" s="390"/>
      <c r="N14" s="390"/>
      <c r="O14" s="397"/>
    </row>
    <row r="15" spans="1:15">
      <c r="A15" s="792"/>
      <c r="B15" s="403">
        <f>K8</f>
        <v>2028000</v>
      </c>
      <c r="C15" s="390" t="s">
        <v>6</v>
      </c>
      <c r="D15" s="390"/>
      <c r="K15" s="396" t="s">
        <v>11</v>
      </c>
      <c r="L15" s="791">
        <v>263</v>
      </c>
      <c r="M15" s="390" t="s">
        <v>1</v>
      </c>
      <c r="N15" s="396" t="s">
        <v>5</v>
      </c>
      <c r="O15" s="397">
        <f>L15*B15/1000</f>
        <v>533364</v>
      </c>
    </row>
    <row r="16" spans="1:15" ht="11.25" customHeight="1">
      <c r="A16" s="792"/>
      <c r="B16" s="403"/>
      <c r="C16" s="390"/>
      <c r="D16" s="390"/>
      <c r="K16" s="396"/>
      <c r="L16" s="791"/>
      <c r="M16" s="390"/>
      <c r="N16" s="396"/>
      <c r="O16" s="397"/>
    </row>
    <row r="17" spans="1:15">
      <c r="A17" s="792">
        <v>3</v>
      </c>
      <c r="B17" s="404" t="s">
        <v>351</v>
      </c>
      <c r="C17" s="390"/>
      <c r="D17" s="390"/>
      <c r="H17" s="390"/>
      <c r="K17" s="396"/>
      <c r="L17" s="791"/>
      <c r="M17" s="390"/>
      <c r="N17" s="396"/>
      <c r="O17" s="405"/>
    </row>
    <row r="18" spans="1:15">
      <c r="A18" s="792"/>
      <c r="B18" s="384" t="s">
        <v>352</v>
      </c>
      <c r="D18" s="384">
        <v>2600</v>
      </c>
      <c r="E18" s="384" t="s">
        <v>353</v>
      </c>
      <c r="F18" s="384" t="s">
        <v>21</v>
      </c>
      <c r="G18" s="384">
        <v>2500</v>
      </c>
      <c r="H18" s="406" t="s">
        <v>354</v>
      </c>
      <c r="I18" s="384" t="s">
        <v>21</v>
      </c>
      <c r="J18" s="384" t="s">
        <v>355</v>
      </c>
      <c r="L18" s="791"/>
      <c r="M18" s="390"/>
      <c r="N18" s="396"/>
      <c r="O18" s="405"/>
    </row>
    <row r="19" spans="1:15">
      <c r="A19" s="792"/>
      <c r="B19" s="384" t="s">
        <v>356</v>
      </c>
      <c r="C19" s="384" t="s">
        <v>357</v>
      </c>
      <c r="E19" s="787"/>
      <c r="G19" s="973"/>
      <c r="H19" s="973"/>
      <c r="I19" s="395">
        <v>5039</v>
      </c>
      <c r="K19" s="400"/>
      <c r="L19" s="791"/>
      <c r="M19" s="390"/>
      <c r="N19" s="396"/>
      <c r="O19" s="405"/>
    </row>
    <row r="20" spans="1:15">
      <c r="A20" s="792"/>
      <c r="B20" s="384" t="s">
        <v>350</v>
      </c>
      <c r="F20" s="787">
        <v>1</v>
      </c>
      <c r="I20" s="395"/>
      <c r="J20" s="384" t="s">
        <v>21</v>
      </c>
      <c r="K20" s="407">
        <f>K6</f>
        <v>1188000</v>
      </c>
      <c r="L20" s="791" t="s">
        <v>167</v>
      </c>
      <c r="M20" s="390"/>
      <c r="N20" s="396"/>
      <c r="O20" s="405"/>
    </row>
    <row r="21" spans="1:15">
      <c r="A21" s="792"/>
      <c r="B21" s="432">
        <f>K10</f>
        <v>1188000</v>
      </c>
      <c r="C21" s="390" t="s">
        <v>6</v>
      </c>
      <c r="D21" s="390"/>
      <c r="K21" s="396" t="s">
        <v>11</v>
      </c>
      <c r="L21" s="791">
        <f>I19</f>
        <v>5039</v>
      </c>
      <c r="M21" s="390" t="s">
        <v>1</v>
      </c>
      <c r="N21" s="396" t="s">
        <v>5</v>
      </c>
      <c r="O21" s="397">
        <f>L21*B21/1000</f>
        <v>5986332</v>
      </c>
    </row>
    <row r="22" spans="1:15" ht="10.5" customHeight="1">
      <c r="A22" s="792"/>
      <c r="E22" s="395"/>
      <c r="I22" s="395"/>
      <c r="K22" s="396"/>
      <c r="L22" s="393"/>
      <c r="M22" s="390"/>
      <c r="N22" s="390"/>
      <c r="O22" s="397"/>
    </row>
    <row r="23" spans="1:15">
      <c r="A23" s="792">
        <v>4</v>
      </c>
      <c r="B23" s="384" t="s">
        <v>358</v>
      </c>
      <c r="E23" s="395"/>
      <c r="I23" s="395"/>
      <c r="K23" s="396"/>
      <c r="L23" s="393"/>
      <c r="M23" s="390"/>
      <c r="N23" s="390"/>
      <c r="O23" s="397"/>
    </row>
    <row r="24" spans="1:15">
      <c r="A24" s="792"/>
      <c r="B24" s="384" t="s">
        <v>359</v>
      </c>
      <c r="E24" s="395"/>
      <c r="I24" s="395"/>
      <c r="K24" s="396"/>
      <c r="L24" s="393"/>
      <c r="M24" s="390"/>
      <c r="N24" s="390"/>
      <c r="O24" s="397"/>
    </row>
    <row r="25" spans="1:15">
      <c r="A25" s="792"/>
      <c r="C25" s="787">
        <v>1</v>
      </c>
      <c r="D25" s="787" t="s">
        <v>2</v>
      </c>
      <c r="E25" s="787">
        <f>E6</f>
        <v>99000</v>
      </c>
      <c r="F25" s="787" t="s">
        <v>2</v>
      </c>
      <c r="G25" s="787">
        <f>G6</f>
        <v>12</v>
      </c>
      <c r="H25" s="787" t="s">
        <v>2</v>
      </c>
      <c r="I25" s="793">
        <v>0.33</v>
      </c>
      <c r="J25" s="787" t="s">
        <v>3</v>
      </c>
      <c r="K25" s="407">
        <f>I25*G25*E25*C25</f>
        <v>392040</v>
      </c>
      <c r="L25" s="393" t="s">
        <v>167</v>
      </c>
      <c r="M25" s="390"/>
      <c r="N25" s="390"/>
      <c r="O25" s="397"/>
    </row>
    <row r="26" spans="1:15">
      <c r="A26" s="792"/>
      <c r="C26" s="787">
        <v>1</v>
      </c>
      <c r="D26" s="787" t="s">
        <v>2</v>
      </c>
      <c r="E26" s="787">
        <f>E7</f>
        <v>60000</v>
      </c>
      <c r="F26" s="787" t="s">
        <v>2</v>
      </c>
      <c r="G26" s="787">
        <f>G7</f>
        <v>14</v>
      </c>
      <c r="H26" s="787" t="s">
        <v>2</v>
      </c>
      <c r="I26" s="793">
        <v>0.33</v>
      </c>
      <c r="J26" s="787" t="s">
        <v>3</v>
      </c>
      <c r="K26" s="407">
        <f>I26*G26*E26*C26</f>
        <v>277200</v>
      </c>
      <c r="L26" s="393" t="s">
        <v>167</v>
      </c>
      <c r="M26" s="390"/>
      <c r="N26" s="390"/>
      <c r="O26" s="397"/>
    </row>
    <row r="27" spans="1:15">
      <c r="A27" s="792"/>
      <c r="C27" s="787"/>
      <c r="D27" s="787"/>
      <c r="E27" s="787"/>
      <c r="F27" s="787"/>
      <c r="G27" s="787"/>
      <c r="H27" s="787"/>
      <c r="I27" s="793"/>
      <c r="J27" s="787" t="s">
        <v>21</v>
      </c>
      <c r="K27" s="407">
        <f>SUM(K25:K26)</f>
        <v>669240</v>
      </c>
      <c r="L27" s="393"/>
      <c r="M27" s="390"/>
      <c r="N27" s="390"/>
      <c r="O27" s="397"/>
    </row>
    <row r="28" spans="1:15">
      <c r="A28" s="792"/>
      <c r="B28" s="403">
        <f>K27</f>
        <v>669240</v>
      </c>
      <c r="C28" s="390" t="s">
        <v>6</v>
      </c>
      <c r="D28" s="390"/>
      <c r="H28" s="390"/>
      <c r="K28" s="396" t="s">
        <v>11</v>
      </c>
      <c r="L28" s="791">
        <v>9416.2800000000007</v>
      </c>
      <c r="M28" s="390" t="s">
        <v>360</v>
      </c>
      <c r="N28" s="396" t="s">
        <v>5</v>
      </c>
      <c r="O28" s="397">
        <f>L28*B28/100</f>
        <v>63017512.272000007</v>
      </c>
    </row>
    <row r="29" spans="1:15">
      <c r="A29" s="792">
        <v>5</v>
      </c>
      <c r="B29" s="384" t="s">
        <v>361</v>
      </c>
      <c r="E29" s="395"/>
      <c r="I29" s="395"/>
      <c r="K29" s="396"/>
      <c r="L29" s="393"/>
      <c r="M29" s="390"/>
      <c r="N29" s="390"/>
      <c r="O29" s="397"/>
    </row>
    <row r="30" spans="1:15">
      <c r="A30" s="792"/>
      <c r="B30" s="384" t="s">
        <v>362</v>
      </c>
      <c r="E30" s="395"/>
      <c r="I30" s="395"/>
      <c r="K30" s="396"/>
      <c r="L30" s="393"/>
      <c r="M30" s="390"/>
      <c r="N30" s="390"/>
      <c r="O30" s="397"/>
    </row>
    <row r="31" spans="1:15">
      <c r="A31" s="792"/>
      <c r="B31" s="384" t="s">
        <v>363</v>
      </c>
      <c r="E31" s="395"/>
      <c r="I31" s="395"/>
      <c r="K31" s="396"/>
      <c r="L31" s="393"/>
      <c r="M31" s="390"/>
      <c r="N31" s="390"/>
      <c r="O31" s="397"/>
    </row>
    <row r="32" spans="1:15">
      <c r="A32" s="792"/>
      <c r="C32" s="787">
        <v>1</v>
      </c>
      <c r="D32" s="787" t="s">
        <v>2</v>
      </c>
      <c r="E32" s="787">
        <f>E25</f>
        <v>99000</v>
      </c>
      <c r="F32" s="787" t="s">
        <v>2</v>
      </c>
      <c r="G32" s="787">
        <f>G25</f>
        <v>12</v>
      </c>
      <c r="H32" s="787" t="s">
        <v>2</v>
      </c>
      <c r="I32" s="793">
        <v>0.25</v>
      </c>
      <c r="J32" s="384" t="s">
        <v>3</v>
      </c>
      <c r="K32" s="407">
        <f>I32*G32*E32*C32</f>
        <v>297000</v>
      </c>
      <c r="L32" s="393" t="s">
        <v>167</v>
      </c>
      <c r="M32" s="390"/>
      <c r="N32" s="390"/>
      <c r="O32" s="397"/>
    </row>
    <row r="33" spans="1:18">
      <c r="A33" s="792"/>
      <c r="C33" s="787">
        <v>1</v>
      </c>
      <c r="D33" s="787" t="s">
        <v>2</v>
      </c>
      <c r="E33" s="787">
        <f>E26</f>
        <v>60000</v>
      </c>
      <c r="F33" s="787" t="s">
        <v>2</v>
      </c>
      <c r="G33" s="787">
        <f>G26</f>
        <v>14</v>
      </c>
      <c r="H33" s="787" t="s">
        <v>2</v>
      </c>
      <c r="I33" s="793">
        <v>0.25</v>
      </c>
      <c r="J33" s="384" t="s">
        <v>3</v>
      </c>
      <c r="K33" s="407">
        <f>I33*G33*E33*C33</f>
        <v>210000</v>
      </c>
      <c r="L33" s="393" t="s">
        <v>167</v>
      </c>
      <c r="M33" s="390"/>
      <c r="N33" s="390"/>
      <c r="O33" s="397"/>
    </row>
    <row r="34" spans="1:18">
      <c r="A34" s="792"/>
      <c r="C34" s="787"/>
      <c r="D34" s="787"/>
      <c r="E34" s="787"/>
      <c r="F34" s="787"/>
      <c r="G34" s="787"/>
      <c r="H34" s="787"/>
      <c r="I34" s="793"/>
      <c r="J34" s="384" t="s">
        <v>21</v>
      </c>
      <c r="K34" s="407">
        <f>SUM(K32:K33)</f>
        <v>507000</v>
      </c>
      <c r="L34" s="393"/>
      <c r="M34" s="390"/>
      <c r="N34" s="390"/>
      <c r="O34" s="397"/>
    </row>
    <row r="35" spans="1:18">
      <c r="A35" s="792"/>
      <c r="B35" s="403">
        <f>K34</f>
        <v>507000</v>
      </c>
      <c r="C35" s="390" t="s">
        <v>6</v>
      </c>
      <c r="D35" s="390"/>
      <c r="H35" s="390"/>
      <c r="K35" s="396" t="s">
        <v>11</v>
      </c>
      <c r="L35" s="791">
        <v>14429.25</v>
      </c>
      <c r="M35" s="390" t="s">
        <v>360</v>
      </c>
      <c r="N35" s="396" t="s">
        <v>5</v>
      </c>
      <c r="O35" s="397">
        <f>L35*B35/100</f>
        <v>73156297.5</v>
      </c>
      <c r="P35" s="791"/>
    </row>
    <row r="36" spans="1:18" ht="12.75" customHeight="1">
      <c r="A36" s="792"/>
      <c r="E36" s="395"/>
      <c r="I36" s="395"/>
      <c r="K36" s="396"/>
      <c r="L36" s="393"/>
      <c r="M36" s="390"/>
      <c r="N36" s="390"/>
      <c r="O36" s="397"/>
    </row>
    <row r="37" spans="1:18">
      <c r="A37" s="792">
        <v>6</v>
      </c>
      <c r="B37" s="384" t="s">
        <v>364</v>
      </c>
      <c r="E37" s="395"/>
      <c r="I37" s="395"/>
      <c r="K37" s="396"/>
      <c r="L37" s="393"/>
      <c r="M37" s="390"/>
      <c r="N37" s="390"/>
      <c r="O37" s="397"/>
    </row>
    <row r="38" spans="1:18">
      <c r="A38" s="792"/>
      <c r="B38" s="384" t="s">
        <v>365</v>
      </c>
      <c r="E38" s="395"/>
      <c r="I38" s="395"/>
      <c r="K38" s="396"/>
      <c r="L38" s="393"/>
      <c r="M38" s="390"/>
      <c r="N38" s="390"/>
      <c r="O38" s="397"/>
    </row>
    <row r="39" spans="1:18">
      <c r="A39" s="792"/>
      <c r="B39" s="384" t="s">
        <v>366</v>
      </c>
      <c r="E39" s="395"/>
      <c r="I39" s="395"/>
      <c r="K39" s="396"/>
      <c r="L39" s="393"/>
      <c r="M39" s="390"/>
      <c r="N39" s="390"/>
      <c r="O39" s="397"/>
      <c r="R39" s="384">
        <f>E40</f>
        <v>99000</v>
      </c>
    </row>
    <row r="40" spans="1:18">
      <c r="A40" s="792"/>
      <c r="B40" s="384" t="s">
        <v>15</v>
      </c>
      <c r="C40" s="787">
        <v>1</v>
      </c>
      <c r="D40" s="787" t="s">
        <v>2</v>
      </c>
      <c r="E40" s="787">
        <f>E32</f>
        <v>99000</v>
      </c>
      <c r="F40" s="787" t="s">
        <v>135</v>
      </c>
      <c r="G40" s="962">
        <f>E33</f>
        <v>60000</v>
      </c>
      <c r="H40" s="962"/>
      <c r="I40" s="793">
        <f>I32</f>
        <v>0.25</v>
      </c>
      <c r="J40" s="787" t="s">
        <v>3</v>
      </c>
      <c r="K40" s="400">
        <f>R41*I40</f>
        <v>39750</v>
      </c>
      <c r="L40" s="408" t="s">
        <v>187</v>
      </c>
      <c r="R40" s="384">
        <f>G40</f>
        <v>60000</v>
      </c>
    </row>
    <row r="41" spans="1:18">
      <c r="A41" s="792"/>
      <c r="B41" s="401">
        <f>K40</f>
        <v>39750</v>
      </c>
      <c r="C41" s="390" t="s">
        <v>187</v>
      </c>
      <c r="D41" s="390"/>
      <c r="H41" s="390"/>
      <c r="K41" s="396" t="s">
        <v>11</v>
      </c>
      <c r="L41" s="791">
        <v>3127.41</v>
      </c>
      <c r="M41" s="390" t="s">
        <v>367</v>
      </c>
      <c r="N41" s="409" t="s">
        <v>5</v>
      </c>
      <c r="O41" s="410">
        <f>L41*B41/100</f>
        <v>1243145.4750000001</v>
      </c>
      <c r="R41" s="384">
        <f>SUM(R39:R40)</f>
        <v>159000</v>
      </c>
    </row>
    <row r="42" spans="1:18" ht="22.5" customHeight="1">
      <c r="L42" s="390" t="s">
        <v>185</v>
      </c>
      <c r="M42" s="411"/>
      <c r="N42" s="412" t="s">
        <v>5</v>
      </c>
      <c r="O42" s="413">
        <f>SUM(O11:O41)</f>
        <v>146452241.24700001</v>
      </c>
    </row>
    <row r="43" spans="1:18">
      <c r="L43" s="390"/>
      <c r="M43" s="411"/>
      <c r="N43" s="412"/>
      <c r="O43" s="413"/>
    </row>
    <row r="44" spans="1:18" s="7" customFormat="1" ht="15.75">
      <c r="A44" s="786"/>
      <c r="B44" s="21"/>
      <c r="C44" s="63"/>
      <c r="D44" s="786"/>
      <c r="E44" s="63"/>
      <c r="F44" s="786"/>
      <c r="G44" s="786" t="s">
        <v>368</v>
      </c>
      <c r="H44" s="70"/>
      <c r="I44" s="783"/>
      <c r="N44" s="7" t="s">
        <v>5</v>
      </c>
      <c r="O44" s="72">
        <f>O42*33.7/100</f>
        <v>49354405.300239012</v>
      </c>
    </row>
    <row r="45" spans="1:18" s="7" customFormat="1" ht="15.75">
      <c r="A45" s="786"/>
      <c r="B45" s="21"/>
      <c r="C45" s="63"/>
      <c r="E45" s="63"/>
      <c r="I45" s="414"/>
      <c r="N45" s="139"/>
      <c r="O45" s="139"/>
    </row>
    <row r="46" spans="1:18" s="7" customFormat="1" ht="15.75">
      <c r="A46" s="786"/>
      <c r="B46" s="21"/>
      <c r="C46" s="63"/>
      <c r="E46" s="63"/>
      <c r="I46" s="63"/>
    </row>
    <row r="47" spans="1:18" s="73" customFormat="1">
      <c r="A47" s="785"/>
      <c r="B47" s="69"/>
      <c r="C47" s="67"/>
      <c r="E47" s="67"/>
      <c r="H47" s="415"/>
      <c r="I47" s="784"/>
      <c r="L47" s="390" t="s">
        <v>185</v>
      </c>
      <c r="M47" s="411"/>
      <c r="N47" s="412" t="s">
        <v>5</v>
      </c>
      <c r="O47" s="413">
        <f>SUM(O42:O46)</f>
        <v>195806646.54723901</v>
      </c>
    </row>
    <row r="48" spans="1:18" s="7" customFormat="1" ht="15.75">
      <c r="A48" s="786"/>
      <c r="B48" s="21"/>
      <c r="C48" s="63"/>
      <c r="E48" s="63"/>
      <c r="H48" s="70"/>
      <c r="I48" s="783"/>
    </row>
    <row r="49" spans="1:15" s="7" customFormat="1" ht="15.75">
      <c r="A49" s="786"/>
      <c r="B49" s="21"/>
      <c r="C49" s="63"/>
      <c r="E49" s="63"/>
      <c r="I49" s="63"/>
    </row>
    <row r="50" spans="1:15" s="73" customFormat="1" ht="15.75">
      <c r="A50" s="785"/>
      <c r="B50" s="920" t="s">
        <v>369</v>
      </c>
      <c r="C50" s="920"/>
      <c r="D50" s="920"/>
      <c r="E50" s="920"/>
      <c r="F50" s="920"/>
      <c r="G50" s="920"/>
      <c r="H50" s="920"/>
      <c r="I50" s="920"/>
      <c r="J50" s="920"/>
      <c r="L50" s="920" t="s">
        <v>333</v>
      </c>
      <c r="M50" s="920"/>
      <c r="N50" s="920"/>
      <c r="O50" s="920"/>
    </row>
    <row r="51" spans="1:15" s="7" customFormat="1" ht="15.75">
      <c r="A51" s="786"/>
      <c r="B51" s="942" t="s">
        <v>334</v>
      </c>
      <c r="C51" s="942"/>
      <c r="D51" s="942"/>
      <c r="E51" s="942"/>
      <c r="F51" s="942"/>
      <c r="G51" s="942"/>
      <c r="H51" s="942"/>
      <c r="I51" s="942"/>
      <c r="J51" s="942"/>
      <c r="L51" s="942" t="s">
        <v>370</v>
      </c>
      <c r="M51" s="942"/>
      <c r="N51" s="942"/>
      <c r="O51" s="942"/>
    </row>
    <row r="52" spans="1:15" s="7" customFormat="1" ht="15.75">
      <c r="A52" s="786"/>
      <c r="B52" s="942" t="s">
        <v>236</v>
      </c>
      <c r="C52" s="942"/>
      <c r="D52" s="942"/>
      <c r="E52" s="942"/>
      <c r="F52" s="942"/>
      <c r="G52" s="942"/>
      <c r="H52" s="942"/>
      <c r="I52" s="942"/>
      <c r="J52" s="942"/>
      <c r="L52" s="942" t="s">
        <v>236</v>
      </c>
      <c r="M52" s="942"/>
      <c r="N52" s="942"/>
      <c r="O52" s="942"/>
    </row>
  </sheetData>
  <mergeCells count="13">
    <mergeCell ref="B51:F51"/>
    <mergeCell ref="G51:J51"/>
    <mergeCell ref="L51:O51"/>
    <mergeCell ref="B52:F52"/>
    <mergeCell ref="G52:J52"/>
    <mergeCell ref="L52:O52"/>
    <mergeCell ref="A1:O1"/>
    <mergeCell ref="C2:K2"/>
    <mergeCell ref="G19:H19"/>
    <mergeCell ref="G40:H40"/>
    <mergeCell ref="B50:F50"/>
    <mergeCell ref="G50:J50"/>
    <mergeCell ref="L50:O50"/>
  </mergeCells>
  <pageMargins left="0.59" right="0.26" top="0.17" bottom="0.3" header="0.17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rgb="FFFF0000"/>
  </sheetPr>
  <dimension ref="A1:K86"/>
  <sheetViews>
    <sheetView topLeftCell="A22" workbookViewId="0">
      <selection activeCell="I39" sqref="I39"/>
    </sheetView>
  </sheetViews>
  <sheetFormatPr defaultRowHeight="16.5"/>
  <cols>
    <col min="1" max="1" width="4.5703125" style="384" customWidth="1"/>
    <col min="2" max="2" width="11.85546875" style="384" customWidth="1"/>
    <col min="3" max="3" width="4.28515625" style="384" customWidth="1"/>
    <col min="4" max="4" width="15.7109375" style="384" customWidth="1"/>
    <col min="5" max="5" width="4.85546875" style="384" customWidth="1"/>
    <col min="6" max="6" width="3.140625" style="384" customWidth="1"/>
    <col min="7" max="7" width="6" style="384" customWidth="1"/>
    <col min="8" max="8" width="11.85546875" style="384" customWidth="1"/>
    <col min="9" max="9" width="8.7109375" style="384" customWidth="1"/>
    <col min="10" max="10" width="6.140625" style="384" customWidth="1"/>
    <col min="11" max="11" width="10" style="384" customWidth="1"/>
    <col min="12" max="12" width="9.85546875" style="384" customWidth="1"/>
    <col min="13" max="13" width="7.5703125" style="384" customWidth="1"/>
    <col min="14" max="14" width="3.140625" style="384" customWidth="1"/>
    <col min="15" max="15" width="9.85546875" style="384" customWidth="1"/>
    <col min="16" max="16384" width="9.140625" style="384"/>
  </cols>
  <sheetData>
    <row r="1" spans="1:11" ht="25.5" customHeight="1">
      <c r="A1" s="391" t="s">
        <v>714</v>
      </c>
      <c r="H1" s="390"/>
      <c r="I1" s="393" t="s">
        <v>715</v>
      </c>
      <c r="J1" s="390" t="s">
        <v>402</v>
      </c>
      <c r="K1" s="397">
        <f>BOQ!O136</f>
        <v>2279169.3501750003</v>
      </c>
    </row>
    <row r="2" spans="1:11" ht="6.75" customHeight="1">
      <c r="A2" s="391"/>
      <c r="H2" s="390"/>
    </row>
    <row r="3" spans="1:11">
      <c r="A3" s="787">
        <v>1</v>
      </c>
      <c r="B3" s="384" t="s">
        <v>716</v>
      </c>
      <c r="E3" s="408">
        <f>'[3]Lead chart'!F15</f>
        <v>81</v>
      </c>
      <c r="F3" s="384" t="s">
        <v>717</v>
      </c>
    </row>
    <row r="4" spans="1:11">
      <c r="A4" s="787"/>
    </row>
    <row r="5" spans="1:11">
      <c r="A5" s="787"/>
      <c r="B5" s="403" t="e">
        <f>'Mat state'!G14</f>
        <v>#REF!</v>
      </c>
      <c r="C5" s="390" t="s">
        <v>6</v>
      </c>
      <c r="D5" s="390"/>
      <c r="E5" s="390"/>
      <c r="F5" s="390"/>
      <c r="G5" s="396" t="s">
        <v>11</v>
      </c>
      <c r="H5" s="791">
        <f>'[3]Lead chart'!J19</f>
        <v>3213.96</v>
      </c>
      <c r="I5" s="390" t="s">
        <v>12</v>
      </c>
      <c r="J5" s="390" t="s">
        <v>5</v>
      </c>
      <c r="K5" s="397" t="e">
        <f>H5*B5/100</f>
        <v>#REF!</v>
      </c>
    </row>
    <row r="6" spans="1:11">
      <c r="A6" s="787"/>
      <c r="K6" s="801"/>
    </row>
    <row r="7" spans="1:11">
      <c r="A7" s="787">
        <v>2</v>
      </c>
      <c r="B7" s="384" t="s">
        <v>718</v>
      </c>
      <c r="D7" s="787"/>
      <c r="E7" s="787">
        <f>'[3]Lead chart'!F21</f>
        <v>76</v>
      </c>
      <c r="K7" s="801"/>
    </row>
    <row r="8" spans="1:11">
      <c r="A8" s="787"/>
      <c r="K8" s="801"/>
    </row>
    <row r="9" spans="1:11">
      <c r="A9" s="787"/>
      <c r="B9" s="403">
        <f>[3]Material!H13</f>
        <v>0</v>
      </c>
      <c r="C9" s="390" t="s">
        <v>6</v>
      </c>
      <c r="D9" s="390"/>
      <c r="E9" s="390"/>
      <c r="F9" s="390"/>
      <c r="G9" s="396" t="str">
        <f>G5</f>
        <v xml:space="preserve"> @Rs</v>
      </c>
      <c r="H9" s="791">
        <f>'[3]Lead chart'!J25</f>
        <v>3051.1600000000003</v>
      </c>
      <c r="I9" s="390" t="str">
        <f>I5</f>
        <v>P%Cft</v>
      </c>
      <c r="J9" s="390" t="s">
        <v>5</v>
      </c>
      <c r="K9" s="397">
        <f>H9*B9/100</f>
        <v>0</v>
      </c>
    </row>
    <row r="10" spans="1:11">
      <c r="A10" s="787"/>
    </row>
    <row r="11" spans="1:11">
      <c r="A11" s="787">
        <v>3</v>
      </c>
      <c r="B11" s="384" t="s">
        <v>719</v>
      </c>
      <c r="E11" s="787">
        <f>'[3]Lead chart'!F9</f>
        <v>204</v>
      </c>
      <c r="F11" s="384" t="s">
        <v>720</v>
      </c>
    </row>
    <row r="12" spans="1:11">
      <c r="A12" s="787"/>
    </row>
    <row r="13" spans="1:11">
      <c r="A13" s="787"/>
      <c r="B13" s="403" t="e">
        <f>'Mat state'!I14</f>
        <v>#REF!</v>
      </c>
      <c r="C13" s="390" t="s">
        <v>6</v>
      </c>
      <c r="D13" s="390"/>
      <c r="E13" s="390"/>
      <c r="F13" s="390"/>
      <c r="G13" s="396" t="str">
        <f>G9</f>
        <v xml:space="preserve"> @Rs</v>
      </c>
      <c r="H13" s="791">
        <f>'[3]Lead chart'!J13</f>
        <v>7218.84</v>
      </c>
      <c r="I13" s="390" t="s">
        <v>12</v>
      </c>
      <c r="J13" s="390" t="s">
        <v>5</v>
      </c>
      <c r="K13" s="397" t="e">
        <f>H13*B13/100</f>
        <v>#REF!</v>
      </c>
    </row>
    <row r="14" spans="1:11">
      <c r="A14" s="787"/>
    </row>
    <row r="15" spans="1:11">
      <c r="A15" s="787">
        <v>4</v>
      </c>
      <c r="B15" s="384" t="s">
        <v>721</v>
      </c>
      <c r="F15" s="408"/>
      <c r="G15" s="408">
        <f>'[3]Lead chart'!F33</f>
        <v>202</v>
      </c>
      <c r="H15" s="384" t="s">
        <v>720</v>
      </c>
    </row>
    <row r="16" spans="1:11">
      <c r="A16" s="787"/>
    </row>
    <row r="17" spans="1:11">
      <c r="A17" s="787"/>
      <c r="B17" s="403" t="e">
        <f>'Mat state'!J14</f>
        <v>#REF!</v>
      </c>
      <c r="C17" s="390" t="s">
        <v>722</v>
      </c>
      <c r="D17" s="390"/>
      <c r="E17" s="390"/>
      <c r="F17" s="390"/>
      <c r="G17" s="396" t="str">
        <f>G13</f>
        <v xml:space="preserve"> @Rs</v>
      </c>
      <c r="H17" s="791">
        <f>'[3]Lead chart'!J37</f>
        <v>127.53</v>
      </c>
      <c r="I17" s="390" t="s">
        <v>723</v>
      </c>
      <c r="J17" s="390" t="s">
        <v>5</v>
      </c>
      <c r="K17" s="397" t="e">
        <f>H17*B17</f>
        <v>#REF!</v>
      </c>
    </row>
    <row r="18" spans="1:11">
      <c r="A18" s="787"/>
    </row>
    <row r="19" spans="1:11">
      <c r="A19" s="787">
        <v>5</v>
      </c>
      <c r="B19" s="384" t="s">
        <v>724</v>
      </c>
      <c r="E19" s="787">
        <f>'[3]Lead chart'!F27</f>
        <v>6</v>
      </c>
      <c r="F19" s="384" t="s">
        <v>717</v>
      </c>
    </row>
    <row r="21" spans="1:11">
      <c r="B21" s="403">
        <f>'Mat state'!K14</f>
        <v>1431</v>
      </c>
      <c r="C21" s="390" t="s">
        <v>40</v>
      </c>
      <c r="D21" s="390"/>
      <c r="E21" s="390"/>
      <c r="F21" s="390"/>
      <c r="G21" s="396" t="str">
        <f>G17</f>
        <v xml:space="preserve"> @Rs</v>
      </c>
      <c r="H21" s="791">
        <f>'[3]Lead chart'!J31</f>
        <v>617.54</v>
      </c>
      <c r="I21" s="390" t="s">
        <v>725</v>
      </c>
      <c r="J21" s="417" t="s">
        <v>5</v>
      </c>
      <c r="K21" s="413">
        <f>H21*B21/1000</f>
        <v>883.69974000000002</v>
      </c>
    </row>
    <row r="22" spans="1:11">
      <c r="B22" s="403"/>
      <c r="C22" s="390"/>
      <c r="D22" s="390"/>
      <c r="E22" s="390"/>
      <c r="F22" s="390"/>
      <c r="G22" s="396"/>
      <c r="H22" s="393"/>
      <c r="I22" s="390"/>
      <c r="J22" s="417"/>
      <c r="K22" s="413"/>
    </row>
    <row r="23" spans="1:11">
      <c r="A23" s="787">
        <v>5</v>
      </c>
      <c r="B23" s="384" t="s">
        <v>726</v>
      </c>
      <c r="D23" s="787">
        <f>'[3]Lead chart'!F38</f>
        <v>58</v>
      </c>
      <c r="E23" s="384" t="s">
        <v>717</v>
      </c>
    </row>
    <row r="24" spans="1:11">
      <c r="B24" s="403">
        <f>'Mat state'!L14</f>
        <v>50.275848214285709</v>
      </c>
      <c r="C24" s="390" t="s">
        <v>184</v>
      </c>
      <c r="D24" s="390"/>
      <c r="E24" s="390"/>
      <c r="F24" s="390"/>
      <c r="G24" s="430" t="s">
        <v>396</v>
      </c>
      <c r="H24" s="791">
        <f>'[3]Lead chart'!J43</f>
        <v>24.6508</v>
      </c>
      <c r="I24" s="390" t="s">
        <v>727</v>
      </c>
      <c r="J24" s="417" t="s">
        <v>5</v>
      </c>
      <c r="K24" s="413">
        <f>H24*B24</f>
        <v>1239.3398791607142</v>
      </c>
    </row>
    <row r="25" spans="1:11">
      <c r="B25" s="403"/>
      <c r="C25" s="390"/>
      <c r="D25" s="390"/>
      <c r="E25" s="390"/>
      <c r="F25" s="390"/>
      <c r="G25" s="396"/>
      <c r="H25" s="393"/>
      <c r="I25" s="390"/>
      <c r="J25" s="431"/>
      <c r="K25" s="410"/>
    </row>
    <row r="26" spans="1:11" ht="16.5" customHeight="1">
      <c r="B26" s="404"/>
      <c r="G26" s="395"/>
      <c r="H26" s="408"/>
      <c r="K26" s="422"/>
    </row>
    <row r="27" spans="1:11">
      <c r="I27" s="417" t="s">
        <v>183</v>
      </c>
      <c r="J27" s="419" t="s">
        <v>5</v>
      </c>
      <c r="K27" s="413" t="e">
        <f>SUM(K1:K26)</f>
        <v>#REF!</v>
      </c>
    </row>
    <row r="28" spans="1:11">
      <c r="I28" s="417"/>
      <c r="J28" s="419"/>
      <c r="K28" s="413"/>
    </row>
    <row r="29" spans="1:11" ht="21.75" customHeight="1">
      <c r="E29" s="384" t="s">
        <v>728</v>
      </c>
      <c r="I29" s="417"/>
      <c r="J29" s="419" t="s">
        <v>5</v>
      </c>
      <c r="K29" s="413" t="e">
        <f>K27*10/100</f>
        <v>#REF!</v>
      </c>
    </row>
    <row r="30" spans="1:11">
      <c r="I30" s="417"/>
      <c r="J30" s="802"/>
      <c r="K30" s="410"/>
    </row>
    <row r="31" spans="1:11">
      <c r="I31" s="417" t="s">
        <v>729</v>
      </c>
      <c r="J31" s="419" t="s">
        <v>5</v>
      </c>
      <c r="K31" s="413" t="e">
        <f>SUM(K27:K30)</f>
        <v>#REF!</v>
      </c>
    </row>
    <row r="32" spans="1:11" ht="30" customHeight="1"/>
    <row r="34" spans="1:9">
      <c r="A34" s="962" t="s">
        <v>730</v>
      </c>
      <c r="B34" s="962"/>
      <c r="C34" s="962"/>
      <c r="D34" s="962"/>
      <c r="F34" s="962" t="s">
        <v>731</v>
      </c>
      <c r="G34" s="962"/>
      <c r="H34" s="962"/>
      <c r="I34" s="962"/>
    </row>
    <row r="35" spans="1:9">
      <c r="A35" s="962" t="s">
        <v>334</v>
      </c>
      <c r="B35" s="962"/>
      <c r="C35" s="962"/>
      <c r="D35" s="962"/>
      <c r="E35" s="803"/>
      <c r="F35" s="962" t="s">
        <v>335</v>
      </c>
      <c r="G35" s="962"/>
      <c r="H35" s="962"/>
      <c r="I35" s="962"/>
    </row>
    <row r="36" spans="1:9">
      <c r="A36" s="962" t="s">
        <v>236</v>
      </c>
      <c r="B36" s="962"/>
      <c r="C36" s="962"/>
      <c r="D36" s="962"/>
      <c r="F36" s="962" t="s">
        <v>236</v>
      </c>
      <c r="G36" s="962"/>
      <c r="H36" s="962"/>
      <c r="I36" s="962"/>
    </row>
    <row r="54" spans="2:7">
      <c r="B54" s="404"/>
      <c r="C54" s="404"/>
      <c r="G54" s="404"/>
    </row>
    <row r="79" ht="23.25" customHeight="1"/>
    <row r="86" ht="31.5" customHeight="1"/>
  </sheetData>
  <mergeCells count="6">
    <mergeCell ref="A36:D36"/>
    <mergeCell ref="F36:I36"/>
    <mergeCell ref="A34:D34"/>
    <mergeCell ref="F34:I34"/>
    <mergeCell ref="A35:D35"/>
    <mergeCell ref="F35:I35"/>
  </mergeCells>
  <pageMargins left="1.1100000000000001" right="0.26" top="0.27" bottom="0.36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Q132"/>
  <sheetViews>
    <sheetView topLeftCell="A16" workbookViewId="0">
      <selection activeCell="G31" sqref="G31"/>
    </sheetView>
  </sheetViews>
  <sheetFormatPr defaultRowHeight="16.5"/>
  <cols>
    <col min="1" max="1" width="6.7109375" style="384" customWidth="1"/>
    <col min="2" max="2" width="18.140625" style="384" customWidth="1"/>
    <col min="3" max="3" width="6.5703125" style="384" customWidth="1"/>
    <col min="4" max="4" width="5.42578125" style="384" customWidth="1"/>
    <col min="5" max="5" width="8.28515625" style="384" customWidth="1"/>
    <col min="6" max="6" width="14.7109375" style="384" customWidth="1"/>
    <col min="7" max="7" width="11.28515625" style="384" customWidth="1"/>
    <col min="8" max="8" width="10.28515625" style="384" customWidth="1"/>
    <col min="9" max="9" width="12.42578125" style="384" customWidth="1"/>
    <col min="10" max="10" width="9" style="384" customWidth="1"/>
    <col min="11" max="11" width="11.140625" style="384" customWidth="1"/>
    <col min="12" max="12" width="9.7109375" style="384" customWidth="1"/>
    <col min="13" max="13" width="9.5703125" style="384" customWidth="1"/>
    <col min="14" max="14" width="3.28515625" style="384" customWidth="1"/>
    <col min="15" max="15" width="10" style="384" customWidth="1"/>
    <col min="16" max="16" width="9.140625" style="384"/>
    <col min="17" max="17" width="9.140625" style="384" hidden="1" customWidth="1"/>
    <col min="18" max="16384" width="9.140625" style="384"/>
  </cols>
  <sheetData>
    <row r="1" spans="1:13">
      <c r="A1" s="965" t="s">
        <v>732</v>
      </c>
      <c r="B1" s="965"/>
      <c r="C1" s="965"/>
      <c r="D1" s="965"/>
      <c r="E1" s="965"/>
      <c r="F1" s="965"/>
      <c r="G1" s="965"/>
      <c r="H1" s="965"/>
      <c r="I1" s="965"/>
      <c r="J1" s="965"/>
      <c r="K1" s="965"/>
    </row>
    <row r="2" spans="1:13">
      <c r="B2" s="391"/>
    </row>
    <row r="3" spans="1:13">
      <c r="B3" s="391"/>
    </row>
    <row r="4" spans="1:13" ht="39.75" customHeight="1">
      <c r="A4" s="804" t="s">
        <v>341</v>
      </c>
      <c r="B4" s="983" t="s">
        <v>733</v>
      </c>
      <c r="C4" s="984"/>
      <c r="D4" s="984"/>
      <c r="E4" s="985"/>
      <c r="F4" s="804" t="s">
        <v>734</v>
      </c>
      <c r="G4" s="804" t="s">
        <v>735</v>
      </c>
      <c r="H4" s="804" t="s">
        <v>736</v>
      </c>
      <c r="I4" s="804" t="s">
        <v>737</v>
      </c>
      <c r="J4" s="804" t="s">
        <v>738</v>
      </c>
      <c r="K4" s="804" t="s">
        <v>739</v>
      </c>
      <c r="L4" s="805" t="s">
        <v>740</v>
      </c>
    </row>
    <row r="5" spans="1:13" ht="30" customHeight="1">
      <c r="A5" s="806">
        <v>1</v>
      </c>
      <c r="B5" s="977" t="s">
        <v>741</v>
      </c>
      <c r="C5" s="978"/>
      <c r="D5" s="978"/>
      <c r="E5" s="979"/>
      <c r="F5" s="807">
        <f>BOQ!B101</f>
        <v>3443.5</v>
      </c>
      <c r="G5" s="807">
        <f>F5*96%</f>
        <v>3305.7599999999998</v>
      </c>
      <c r="H5" s="807">
        <v>0</v>
      </c>
      <c r="I5" s="807">
        <f>F5*48%</f>
        <v>1652.8799999999999</v>
      </c>
      <c r="J5" s="807">
        <f>F5*9.6%</f>
        <v>330.57600000000002</v>
      </c>
      <c r="K5" s="807">
        <v>0</v>
      </c>
      <c r="L5" s="808">
        <v>0</v>
      </c>
    </row>
    <row r="6" spans="1:13" ht="30" customHeight="1">
      <c r="A6" s="809">
        <v>2</v>
      </c>
      <c r="B6" s="977" t="s">
        <v>742</v>
      </c>
      <c r="C6" s="978"/>
      <c r="D6" s="978"/>
      <c r="E6" s="979"/>
      <c r="F6" s="807">
        <f>BOQ!B109</f>
        <v>106</v>
      </c>
      <c r="G6" s="807">
        <v>0</v>
      </c>
      <c r="H6" s="807">
        <v>0</v>
      </c>
      <c r="I6" s="807">
        <f>F6*25.7%</f>
        <v>27.242000000000001</v>
      </c>
      <c r="J6" s="807">
        <f>F6*3.44%</f>
        <v>3.6463999999999999</v>
      </c>
      <c r="K6" s="807">
        <f>F6*1350%</f>
        <v>1431</v>
      </c>
      <c r="L6" s="808">
        <v>0</v>
      </c>
    </row>
    <row r="7" spans="1:13" ht="30" customHeight="1">
      <c r="A7" s="809">
        <v>3</v>
      </c>
      <c r="B7" s="810" t="s">
        <v>743</v>
      </c>
      <c r="C7" s="811" t="e">
        <f>BOQ!#REF!</f>
        <v>#REF!</v>
      </c>
      <c r="D7" s="811" t="s">
        <v>2</v>
      </c>
      <c r="E7" s="811">
        <v>0.35</v>
      </c>
      <c r="F7" s="807" t="e">
        <f>E7*C7</f>
        <v>#REF!</v>
      </c>
      <c r="G7" s="807" t="e">
        <f>F7*88%</f>
        <v>#REF!</v>
      </c>
      <c r="H7" s="807">
        <v>0</v>
      </c>
      <c r="I7" s="807" t="e">
        <f>F7*44.7%</f>
        <v>#REF!</v>
      </c>
      <c r="J7" s="807" t="e">
        <f>F7*17%</f>
        <v>#REF!</v>
      </c>
      <c r="K7" s="807">
        <v>0</v>
      </c>
      <c r="L7" s="808">
        <v>0</v>
      </c>
    </row>
    <row r="8" spans="1:13" ht="30" customHeight="1">
      <c r="A8" s="812">
        <v>4</v>
      </c>
      <c r="B8" s="810" t="s">
        <v>744</v>
      </c>
      <c r="C8" s="811" t="e">
        <f>BOQ!#REF!</f>
        <v>#REF!</v>
      </c>
      <c r="D8" s="811" t="s">
        <v>2</v>
      </c>
      <c r="E8" s="811">
        <v>0.74</v>
      </c>
      <c r="F8" s="807" t="e">
        <f>E8*C8</f>
        <v>#REF!</v>
      </c>
      <c r="G8" s="807" t="e">
        <f>F8*88%</f>
        <v>#REF!</v>
      </c>
      <c r="H8" s="807">
        <v>0</v>
      </c>
      <c r="I8" s="807" t="e">
        <f>F8*44%</f>
        <v>#REF!</v>
      </c>
      <c r="J8" s="807" t="e">
        <f>F8*17.6%</f>
        <v>#REF!</v>
      </c>
      <c r="K8" s="807">
        <v>0</v>
      </c>
      <c r="L8" s="808">
        <v>0</v>
      </c>
    </row>
    <row r="9" spans="1:13" ht="30" customHeight="1">
      <c r="A9" s="812">
        <v>4</v>
      </c>
      <c r="B9" s="810" t="s">
        <v>745</v>
      </c>
      <c r="C9" s="811" t="e">
        <f>BOQ!#REF!</f>
        <v>#REF!</v>
      </c>
      <c r="D9" s="811" t="s">
        <v>2</v>
      </c>
      <c r="E9" s="811">
        <v>1.37</v>
      </c>
      <c r="F9" s="807" t="e">
        <f>E9*C9</f>
        <v>#REF!</v>
      </c>
      <c r="G9" s="807" t="e">
        <f>F9*88%</f>
        <v>#REF!</v>
      </c>
      <c r="H9" s="807">
        <v>0</v>
      </c>
      <c r="I9" s="807" t="e">
        <f>F9*44%</f>
        <v>#REF!</v>
      </c>
      <c r="J9" s="807" t="e">
        <f>F9*17.6%</f>
        <v>#REF!</v>
      </c>
      <c r="K9" s="807">
        <v>0</v>
      </c>
      <c r="L9" s="808">
        <v>0</v>
      </c>
    </row>
    <row r="10" spans="1:13" ht="30" customHeight="1">
      <c r="A10" s="813">
        <v>5</v>
      </c>
      <c r="B10" s="977" t="s">
        <v>746</v>
      </c>
      <c r="C10" s="978"/>
      <c r="D10" s="978"/>
      <c r="E10" s="979"/>
      <c r="F10" s="807">
        <f>BOQ!B123</f>
        <v>1251.31</v>
      </c>
      <c r="G10" s="807">
        <f>F10*88%</f>
        <v>1101.1528000000001</v>
      </c>
      <c r="H10" s="807">
        <v>0</v>
      </c>
      <c r="I10" s="807">
        <f>F10*44.7%</f>
        <v>559.33556999999996</v>
      </c>
      <c r="J10" s="807">
        <f>F10*17.6%</f>
        <v>220.23056000000003</v>
      </c>
      <c r="K10" s="807">
        <v>0</v>
      </c>
      <c r="L10" s="808">
        <f>F10*4.5/112</f>
        <v>50.275848214285709</v>
      </c>
    </row>
    <row r="11" spans="1:13" ht="30" customHeight="1">
      <c r="A11" s="806">
        <v>6</v>
      </c>
      <c r="B11" s="977" t="s">
        <v>747</v>
      </c>
      <c r="C11" s="978"/>
      <c r="D11" s="978"/>
      <c r="E11" s="979"/>
      <c r="F11" s="807">
        <f>BOQ!B112</f>
        <v>12450</v>
      </c>
      <c r="G11" s="807">
        <v>0</v>
      </c>
      <c r="H11" s="807">
        <v>0</v>
      </c>
      <c r="I11" s="807">
        <f>F11*3.6/100</f>
        <v>448.2</v>
      </c>
      <c r="J11" s="807">
        <f>F11*0.73%</f>
        <v>90.885000000000005</v>
      </c>
      <c r="K11" s="807">
        <v>0</v>
      </c>
      <c r="L11" s="808">
        <v>0</v>
      </c>
    </row>
    <row r="12" spans="1:13" ht="30" customHeight="1">
      <c r="A12" s="806">
        <v>7</v>
      </c>
      <c r="B12" s="814" t="s">
        <v>748</v>
      </c>
      <c r="C12" s="815"/>
      <c r="D12" s="815"/>
      <c r="E12" s="810"/>
      <c r="F12" s="807">
        <f>BOQ!B135</f>
        <v>157.94</v>
      </c>
      <c r="G12" s="807">
        <f>F12*88/100</f>
        <v>138.9872</v>
      </c>
      <c r="H12" s="807">
        <v>0</v>
      </c>
      <c r="I12" s="807">
        <f>F12*44.7/100</f>
        <v>70.599180000000004</v>
      </c>
      <c r="J12" s="807">
        <f>F12*17.6/100</f>
        <v>27.797440000000002</v>
      </c>
      <c r="K12" s="807">
        <v>0</v>
      </c>
      <c r="L12" s="808">
        <v>0</v>
      </c>
    </row>
    <row r="13" spans="1:13" ht="30" customHeight="1">
      <c r="A13" s="816"/>
      <c r="B13" s="986"/>
      <c r="C13" s="987"/>
      <c r="D13" s="987"/>
      <c r="E13" s="988"/>
      <c r="F13" s="804" t="s">
        <v>183</v>
      </c>
      <c r="G13" s="817" t="e">
        <f t="shared" ref="G13:L13" si="0">SUM(G5:G12)</f>
        <v>#REF!</v>
      </c>
      <c r="H13" s="817">
        <f t="shared" si="0"/>
        <v>0</v>
      </c>
      <c r="I13" s="817" t="e">
        <f t="shared" si="0"/>
        <v>#REF!</v>
      </c>
      <c r="J13" s="817" t="e">
        <f t="shared" si="0"/>
        <v>#REF!</v>
      </c>
      <c r="K13" s="817">
        <f t="shared" si="0"/>
        <v>1431</v>
      </c>
      <c r="L13" s="817">
        <f t="shared" si="0"/>
        <v>50.275848214285709</v>
      </c>
    </row>
    <row r="14" spans="1:13" ht="30" customHeight="1">
      <c r="A14" s="816"/>
      <c r="B14" s="980"/>
      <c r="C14" s="981"/>
      <c r="D14" s="981"/>
      <c r="E14" s="982"/>
      <c r="F14" s="818" t="s">
        <v>34</v>
      </c>
      <c r="G14" s="819" t="e">
        <f t="shared" ref="G14:L14" si="1">G13</f>
        <v>#REF!</v>
      </c>
      <c r="H14" s="819">
        <f t="shared" si="1"/>
        <v>0</v>
      </c>
      <c r="I14" s="819" t="e">
        <f t="shared" si="1"/>
        <v>#REF!</v>
      </c>
      <c r="J14" s="819" t="e">
        <f t="shared" si="1"/>
        <v>#REF!</v>
      </c>
      <c r="K14" s="819">
        <f t="shared" si="1"/>
        <v>1431</v>
      </c>
      <c r="L14" s="819">
        <f t="shared" si="1"/>
        <v>50.275848214285709</v>
      </c>
      <c r="M14" s="820"/>
    </row>
    <row r="15" spans="1:13">
      <c r="A15" s="411"/>
      <c r="B15" s="428"/>
      <c r="C15" s="428"/>
      <c r="D15" s="428"/>
      <c r="E15" s="428"/>
      <c r="F15" s="821"/>
      <c r="G15" s="822"/>
      <c r="H15" s="822"/>
      <c r="I15" s="822"/>
      <c r="J15" s="822"/>
      <c r="K15" s="822"/>
      <c r="L15" s="822"/>
    </row>
    <row r="16" spans="1:13">
      <c r="A16" s="411"/>
      <c r="B16" s="428"/>
      <c r="C16" s="976"/>
      <c r="D16" s="976"/>
      <c r="E16" s="976"/>
      <c r="F16" s="821"/>
      <c r="G16" s="822"/>
      <c r="H16" s="822"/>
      <c r="I16" s="822"/>
      <c r="J16" s="822"/>
      <c r="K16" s="822"/>
      <c r="L16" s="822"/>
    </row>
    <row r="17" spans="1:12">
      <c r="A17" s="411"/>
      <c r="B17" s="962"/>
      <c r="C17" s="962"/>
      <c r="D17" s="962"/>
      <c r="E17" s="962"/>
      <c r="F17" s="821"/>
      <c r="G17" s="821"/>
      <c r="H17" s="822"/>
      <c r="I17" s="822"/>
      <c r="J17" s="822"/>
      <c r="K17" s="822"/>
      <c r="L17" s="822"/>
    </row>
    <row r="18" spans="1:12">
      <c r="A18" s="962" t="s">
        <v>730</v>
      </c>
      <c r="B18" s="962"/>
      <c r="C18" s="962"/>
      <c r="D18" s="962"/>
      <c r="F18" s="821"/>
      <c r="G18" s="975" t="str">
        <f>[3]Abstract!F19</f>
        <v>Executive Engineer.</v>
      </c>
      <c r="H18" s="975"/>
      <c r="I18" s="975"/>
    </row>
    <row r="19" spans="1:12" ht="19.5" customHeight="1">
      <c r="A19" s="962" t="s">
        <v>334</v>
      </c>
      <c r="B19" s="962"/>
      <c r="C19" s="962"/>
      <c r="D19" s="962"/>
      <c r="E19" s="803"/>
      <c r="G19" s="962" t="s">
        <v>335</v>
      </c>
      <c r="H19" s="962"/>
      <c r="I19" s="962"/>
    </row>
    <row r="20" spans="1:12">
      <c r="A20" s="962" t="s">
        <v>236</v>
      </c>
      <c r="B20" s="962"/>
      <c r="C20" s="962"/>
      <c r="D20" s="962"/>
      <c r="F20" s="821"/>
      <c r="G20" s="975" t="str">
        <f>[3]Abstract!F21</f>
        <v>Larkano</v>
      </c>
      <c r="H20" s="975"/>
      <c r="I20" s="975"/>
    </row>
    <row r="21" spans="1:12">
      <c r="F21" s="821"/>
      <c r="G21" s="821"/>
    </row>
    <row r="23" spans="1:12">
      <c r="F23" s="962"/>
      <c r="G23" s="962"/>
    </row>
    <row r="24" spans="1:12">
      <c r="B24" s="962"/>
      <c r="C24" s="962"/>
      <c r="D24" s="962"/>
      <c r="E24" s="962"/>
      <c r="F24" s="962"/>
      <c r="G24" s="962"/>
      <c r="H24" s="962"/>
      <c r="I24" s="962"/>
    </row>
    <row r="25" spans="1:12">
      <c r="B25" s="962"/>
      <c r="C25" s="962"/>
      <c r="D25" s="962"/>
      <c r="E25" s="962"/>
      <c r="H25" s="962"/>
      <c r="I25" s="962"/>
    </row>
    <row r="26" spans="1:12">
      <c r="B26" s="962"/>
      <c r="C26" s="962"/>
      <c r="D26" s="962"/>
      <c r="E26" s="962"/>
      <c r="F26" s="962"/>
      <c r="G26" s="962"/>
      <c r="H26" s="962"/>
      <c r="I26" s="962"/>
    </row>
    <row r="27" spans="1:12">
      <c r="F27" s="962"/>
      <c r="G27" s="962"/>
    </row>
    <row r="28" spans="1:12" ht="18" customHeight="1"/>
    <row r="29" spans="1:12" ht="21" customHeight="1"/>
    <row r="38" ht="20.25" customHeight="1"/>
    <row r="39" ht="21" customHeight="1"/>
    <row r="43" ht="21" customHeight="1"/>
    <row r="44" ht="22.5" customHeight="1"/>
    <row r="49" ht="17.25" customHeight="1"/>
    <row r="51" ht="15" customHeight="1"/>
    <row r="52" ht="19.5" customHeight="1"/>
    <row r="53" ht="25.5" customHeight="1"/>
    <row r="67" ht="13.5" customHeight="1"/>
    <row r="68" ht="16.5" customHeight="1"/>
    <row r="69" ht="16.5" customHeight="1"/>
    <row r="70" ht="16.5" customHeight="1"/>
    <row r="71" ht="18.75" customHeight="1"/>
    <row r="77" ht="19.5" customHeight="1"/>
    <row r="79" ht="18.75" customHeight="1"/>
    <row r="87" ht="20.25" customHeight="1"/>
    <row r="88" ht="16.5" customHeight="1"/>
    <row r="103" ht="18" customHeight="1"/>
    <row r="104" ht="17.25" customHeight="1"/>
    <row r="120" ht="21.75" customHeight="1"/>
    <row r="132" ht="26.25" customHeight="1"/>
  </sheetData>
  <mergeCells count="24">
    <mergeCell ref="B26:E26"/>
    <mergeCell ref="F26:G27"/>
    <mergeCell ref="H26:I26"/>
    <mergeCell ref="A20:D20"/>
    <mergeCell ref="G20:I20"/>
    <mergeCell ref="F23:G24"/>
    <mergeCell ref="B24:E24"/>
    <mergeCell ref="H24:I24"/>
    <mergeCell ref="B25:E25"/>
    <mergeCell ref="H25:I25"/>
    <mergeCell ref="B5:E5"/>
    <mergeCell ref="B10:E10"/>
    <mergeCell ref="B14:E14"/>
    <mergeCell ref="A1:K1"/>
    <mergeCell ref="B4:E4"/>
    <mergeCell ref="B6:E6"/>
    <mergeCell ref="B11:E11"/>
    <mergeCell ref="B13:E13"/>
    <mergeCell ref="A18:D18"/>
    <mergeCell ref="G18:I18"/>
    <mergeCell ref="A19:D19"/>
    <mergeCell ref="G19:I19"/>
    <mergeCell ref="C16:E16"/>
    <mergeCell ref="B17:E17"/>
  </mergeCells>
  <pageMargins left="1.24" right="0.26" top="0.75" bottom="0.75" header="0.3" footer="0.3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0000"/>
  </sheetPr>
  <dimension ref="A1:R41"/>
  <sheetViews>
    <sheetView topLeftCell="A10" workbookViewId="0">
      <selection activeCell="N29" sqref="N29"/>
    </sheetView>
  </sheetViews>
  <sheetFormatPr defaultRowHeight="16.5"/>
  <cols>
    <col min="1" max="1" width="3.5703125" style="384" customWidth="1"/>
    <col min="2" max="2" width="9.42578125" style="384" customWidth="1"/>
    <col min="3" max="3" width="5.42578125" style="384" customWidth="1"/>
    <col min="4" max="4" width="6.42578125" style="384" customWidth="1"/>
    <col min="5" max="5" width="7.85546875" style="384" customWidth="1"/>
    <col min="6" max="6" width="3" style="384" customWidth="1"/>
    <col min="7" max="7" width="5.42578125" style="384" customWidth="1"/>
    <col min="8" max="8" width="2.85546875" style="384" customWidth="1"/>
    <col min="9" max="9" width="5.42578125" style="384" customWidth="1"/>
    <col min="10" max="10" width="4.28515625" style="384" customWidth="1"/>
    <col min="11" max="11" width="10.7109375" style="384" customWidth="1"/>
    <col min="12" max="12" width="9.42578125" style="384" customWidth="1"/>
    <col min="13" max="13" width="7.7109375" style="384" customWidth="1"/>
    <col min="14" max="14" width="2.85546875" style="384" customWidth="1"/>
    <col min="15" max="15" width="11.140625" style="408" customWidth="1"/>
    <col min="16" max="16" width="9.140625" style="384"/>
    <col min="17" max="17" width="9" style="384" customWidth="1"/>
    <col min="18" max="18" width="9.140625" style="384" hidden="1" customWidth="1"/>
    <col min="19" max="16384" width="9.140625" style="384"/>
  </cols>
  <sheetData>
    <row r="1" spans="1:15" ht="40.5" customHeight="1">
      <c r="A1" s="974" t="str">
        <f>BOQ!A3:O3</f>
        <v>(A)</v>
      </c>
      <c r="B1" s="974"/>
      <c r="C1" s="974"/>
      <c r="D1" s="974"/>
      <c r="E1" s="974"/>
      <c r="F1" s="974"/>
      <c r="G1" s="974"/>
      <c r="H1" s="974"/>
      <c r="I1" s="974"/>
      <c r="J1" s="974"/>
      <c r="K1" s="974"/>
      <c r="L1" s="974"/>
      <c r="M1" s="974"/>
      <c r="N1" s="974"/>
      <c r="O1" s="974"/>
    </row>
    <row r="2" spans="1:15">
      <c r="A2" s="385" t="s">
        <v>341</v>
      </c>
      <c r="B2" s="386" t="s">
        <v>342</v>
      </c>
      <c r="C2" s="968" t="s">
        <v>343</v>
      </c>
      <c r="D2" s="968"/>
      <c r="E2" s="968"/>
      <c r="F2" s="968"/>
      <c r="G2" s="968"/>
      <c r="H2" s="968"/>
      <c r="I2" s="968"/>
      <c r="J2" s="968"/>
      <c r="K2" s="968"/>
      <c r="L2" s="386" t="s">
        <v>0</v>
      </c>
      <c r="M2" s="387" t="s">
        <v>344</v>
      </c>
      <c r="N2" s="388"/>
      <c r="O2" s="389" t="s">
        <v>345</v>
      </c>
    </row>
    <row r="3" spans="1:15">
      <c r="A3" s="390"/>
      <c r="B3" s="391" t="s">
        <v>758</v>
      </c>
      <c r="C3" s="392"/>
      <c r="D3" s="392"/>
      <c r="E3" s="392"/>
      <c r="F3" s="392"/>
      <c r="G3" s="392"/>
      <c r="H3" s="392"/>
      <c r="I3" s="392"/>
      <c r="J3" s="392"/>
      <c r="K3" s="392"/>
      <c r="L3" s="390"/>
      <c r="M3" s="390"/>
      <c r="N3" s="390"/>
      <c r="O3" s="393"/>
    </row>
    <row r="4" spans="1:15">
      <c r="A4" s="394">
        <v>1</v>
      </c>
      <c r="B4" s="384" t="s">
        <v>346</v>
      </c>
      <c r="E4" s="395"/>
      <c r="I4" s="395"/>
      <c r="K4" s="396"/>
      <c r="L4" s="390"/>
      <c r="M4" s="390"/>
      <c r="N4" s="390"/>
      <c r="O4" s="397"/>
    </row>
    <row r="5" spans="1:15">
      <c r="A5" s="394"/>
      <c r="B5" s="384" t="s">
        <v>347</v>
      </c>
      <c r="E5" s="395"/>
      <c r="I5" s="395"/>
      <c r="K5" s="396"/>
      <c r="L5" s="390"/>
      <c r="M5" s="390"/>
      <c r="N5" s="390"/>
      <c r="O5" s="397"/>
    </row>
    <row r="6" spans="1:15" ht="20.25" customHeight="1">
      <c r="A6" s="394"/>
      <c r="C6" s="398">
        <v>1</v>
      </c>
      <c r="D6" s="398" t="s">
        <v>2</v>
      </c>
      <c r="E6" s="392">
        <v>500</v>
      </c>
      <c r="F6" s="398" t="s">
        <v>2</v>
      </c>
      <c r="G6" s="398">
        <v>12</v>
      </c>
      <c r="H6" s="398" t="s">
        <v>2</v>
      </c>
      <c r="I6" s="399">
        <v>1</v>
      </c>
      <c r="J6" s="384" t="s">
        <v>3</v>
      </c>
      <c r="K6" s="392">
        <f>I6*G6*E6*C6</f>
        <v>6000</v>
      </c>
      <c r="L6" s="390" t="s">
        <v>167</v>
      </c>
      <c r="M6" s="390"/>
      <c r="N6" s="390"/>
      <c r="O6" s="397"/>
    </row>
    <row r="7" spans="1:15" ht="20.25" customHeight="1">
      <c r="A7" s="732"/>
      <c r="C7" s="733">
        <v>1</v>
      </c>
      <c r="D7" s="733" t="s">
        <v>2</v>
      </c>
      <c r="E7" s="734">
        <v>700</v>
      </c>
      <c r="F7" s="733" t="s">
        <v>2</v>
      </c>
      <c r="G7" s="733">
        <v>14</v>
      </c>
      <c r="H7" s="733" t="s">
        <v>2</v>
      </c>
      <c r="I7" s="735">
        <v>1</v>
      </c>
      <c r="J7" s="384" t="s">
        <v>3</v>
      </c>
      <c r="K7" s="734">
        <f>I7*G7*E7*C7</f>
        <v>9800</v>
      </c>
      <c r="L7" s="390" t="s">
        <v>167</v>
      </c>
      <c r="M7" s="390"/>
      <c r="N7" s="390"/>
      <c r="O7" s="397"/>
    </row>
    <row r="8" spans="1:15" ht="20.25" customHeight="1">
      <c r="A8" s="732"/>
      <c r="C8" s="733"/>
      <c r="D8" s="733"/>
      <c r="E8" s="734"/>
      <c r="F8" s="733"/>
      <c r="G8" s="733"/>
      <c r="H8" s="733"/>
      <c r="I8" s="735"/>
      <c r="J8" s="384" t="s">
        <v>21</v>
      </c>
      <c r="K8" s="734">
        <f>SUM(K6:K7)</f>
        <v>15800</v>
      </c>
      <c r="L8" s="390"/>
      <c r="M8" s="390"/>
      <c r="N8" s="390"/>
      <c r="O8" s="397"/>
    </row>
    <row r="9" spans="1:15">
      <c r="A9" s="394"/>
      <c r="B9" s="432">
        <f>K8</f>
        <v>15800</v>
      </c>
      <c r="C9" s="390" t="s">
        <v>6</v>
      </c>
      <c r="I9" s="390"/>
      <c r="K9" s="396" t="s">
        <v>11</v>
      </c>
      <c r="L9" s="402">
        <v>2117.5</v>
      </c>
      <c r="M9" s="390" t="s">
        <v>1</v>
      </c>
      <c r="N9" s="396" t="s">
        <v>5</v>
      </c>
      <c r="O9" s="397">
        <f>L9*B9/1000</f>
        <v>33456.5</v>
      </c>
    </row>
    <row r="10" spans="1:15">
      <c r="A10" s="394">
        <v>2</v>
      </c>
      <c r="B10" s="384" t="s">
        <v>348</v>
      </c>
      <c r="E10" s="395"/>
      <c r="I10" s="395"/>
      <c r="K10" s="396"/>
      <c r="L10" s="393"/>
      <c r="M10" s="390"/>
      <c r="N10" s="390"/>
      <c r="O10" s="397"/>
    </row>
    <row r="11" spans="1:15">
      <c r="A11" s="394"/>
      <c r="B11" s="384" t="s">
        <v>349</v>
      </c>
      <c r="E11" s="395"/>
      <c r="I11" s="395"/>
      <c r="K11" s="396"/>
      <c r="L11" s="393"/>
      <c r="M11" s="390"/>
      <c r="N11" s="390"/>
      <c r="O11" s="397"/>
    </row>
    <row r="12" spans="1:15">
      <c r="A12" s="394"/>
      <c r="B12" s="384" t="s">
        <v>350</v>
      </c>
      <c r="F12" s="398">
        <v>1</v>
      </c>
      <c r="I12" s="395"/>
      <c r="J12" s="384" t="s">
        <v>21</v>
      </c>
      <c r="K12" s="396">
        <f>K8</f>
        <v>15800</v>
      </c>
      <c r="L12" s="393" t="s">
        <v>167</v>
      </c>
      <c r="M12" s="390"/>
      <c r="N12" s="390"/>
      <c r="O12" s="397"/>
    </row>
    <row r="13" spans="1:15">
      <c r="A13" s="394"/>
      <c r="B13" s="403">
        <f>K8</f>
        <v>15800</v>
      </c>
      <c r="C13" s="390" t="s">
        <v>6</v>
      </c>
      <c r="D13" s="390"/>
      <c r="K13" s="396" t="s">
        <v>11</v>
      </c>
      <c r="L13" s="402">
        <v>263</v>
      </c>
      <c r="M13" s="390" t="s">
        <v>1</v>
      </c>
      <c r="N13" s="396" t="s">
        <v>5</v>
      </c>
      <c r="O13" s="397">
        <f>L13*B13/1000</f>
        <v>4155.3999999999996</v>
      </c>
    </row>
    <row r="14" spans="1:15" ht="11.25" customHeight="1">
      <c r="A14" s="394"/>
      <c r="B14" s="403"/>
      <c r="C14" s="390"/>
      <c r="D14" s="390"/>
      <c r="K14" s="396"/>
      <c r="L14" s="402"/>
      <c r="M14" s="390"/>
      <c r="N14" s="396"/>
      <c r="O14" s="397"/>
    </row>
    <row r="15" spans="1:15">
      <c r="A15" s="394">
        <v>3</v>
      </c>
      <c r="B15" s="404" t="s">
        <v>351</v>
      </c>
      <c r="C15" s="390"/>
      <c r="D15" s="390"/>
      <c r="H15" s="390"/>
      <c r="K15" s="396"/>
      <c r="L15" s="402"/>
      <c r="M15" s="390"/>
      <c r="N15" s="396"/>
      <c r="O15" s="405"/>
    </row>
    <row r="16" spans="1:15">
      <c r="A16" s="394"/>
      <c r="B16" s="384" t="s">
        <v>352</v>
      </c>
      <c r="D16" s="384">
        <v>2600</v>
      </c>
      <c r="E16" s="384" t="s">
        <v>353</v>
      </c>
      <c r="F16" s="384" t="s">
        <v>21</v>
      </c>
      <c r="G16" s="384">
        <v>2500</v>
      </c>
      <c r="H16" s="406" t="s">
        <v>354</v>
      </c>
      <c r="I16" s="384" t="s">
        <v>21</v>
      </c>
      <c r="J16" s="384" t="s">
        <v>355</v>
      </c>
      <c r="L16" s="402"/>
      <c r="M16" s="390"/>
      <c r="N16" s="396"/>
      <c r="O16" s="405"/>
    </row>
    <row r="17" spans="1:15">
      <c r="A17" s="394"/>
      <c r="B17" s="384" t="s">
        <v>356</v>
      </c>
      <c r="C17" s="384" t="s">
        <v>357</v>
      </c>
      <c r="E17" s="398"/>
      <c r="G17" s="973"/>
      <c r="H17" s="973"/>
      <c r="I17" s="395">
        <v>5039</v>
      </c>
      <c r="K17" s="400"/>
      <c r="L17" s="402"/>
      <c r="M17" s="390"/>
      <c r="N17" s="396"/>
      <c r="O17" s="405"/>
    </row>
    <row r="18" spans="1:15">
      <c r="A18" s="394"/>
      <c r="B18" s="384" t="s">
        <v>350</v>
      </c>
      <c r="F18" s="398">
        <v>1</v>
      </c>
      <c r="I18" s="395"/>
      <c r="J18" s="384" t="s">
        <v>21</v>
      </c>
      <c r="K18" s="407">
        <f>K6</f>
        <v>6000</v>
      </c>
      <c r="L18" s="402" t="s">
        <v>167</v>
      </c>
      <c r="M18" s="390"/>
      <c r="N18" s="396"/>
      <c r="O18" s="405"/>
    </row>
    <row r="19" spans="1:15">
      <c r="A19" s="394"/>
      <c r="B19" s="432">
        <f>B13</f>
        <v>15800</v>
      </c>
      <c r="C19" s="390" t="s">
        <v>6</v>
      </c>
      <c r="D19" s="390"/>
      <c r="K19" s="396" t="s">
        <v>11</v>
      </c>
      <c r="L19" s="402">
        <f>I17</f>
        <v>5039</v>
      </c>
      <c r="M19" s="390" t="s">
        <v>1</v>
      </c>
      <c r="N19" s="396" t="s">
        <v>5</v>
      </c>
      <c r="O19" s="397">
        <f>L19*B19/1000</f>
        <v>79616.2</v>
      </c>
    </row>
    <row r="20" spans="1:15" ht="10.5" customHeight="1">
      <c r="A20" s="394"/>
      <c r="E20" s="395"/>
      <c r="I20" s="395"/>
      <c r="K20" s="396"/>
      <c r="L20" s="393"/>
      <c r="M20" s="390"/>
      <c r="N20" s="390"/>
      <c r="O20" s="397"/>
    </row>
    <row r="21" spans="1:15">
      <c r="A21" s="394">
        <v>4</v>
      </c>
      <c r="B21" s="384" t="s">
        <v>358</v>
      </c>
      <c r="E21" s="395"/>
      <c r="I21" s="395"/>
      <c r="K21" s="396"/>
      <c r="L21" s="393"/>
      <c r="M21" s="390"/>
      <c r="N21" s="390"/>
      <c r="O21" s="397"/>
    </row>
    <row r="22" spans="1:15">
      <c r="A22" s="394"/>
      <c r="B22" s="384" t="s">
        <v>359</v>
      </c>
      <c r="E22" s="395"/>
      <c r="I22" s="395"/>
      <c r="K22" s="396"/>
      <c r="L22" s="393"/>
      <c r="M22" s="390"/>
      <c r="N22" s="390"/>
      <c r="O22" s="397"/>
    </row>
    <row r="23" spans="1:15">
      <c r="A23" s="394"/>
      <c r="C23" s="398">
        <v>1</v>
      </c>
      <c r="D23" s="398" t="s">
        <v>2</v>
      </c>
      <c r="E23" s="398">
        <f>E6</f>
        <v>500</v>
      </c>
      <c r="F23" s="398" t="s">
        <v>2</v>
      </c>
      <c r="G23" s="398">
        <f>G6</f>
        <v>12</v>
      </c>
      <c r="H23" s="398" t="s">
        <v>2</v>
      </c>
      <c r="I23" s="399">
        <v>0.33</v>
      </c>
      <c r="J23" s="733" t="s">
        <v>3</v>
      </c>
      <c r="K23" s="407">
        <f>I23*G23*E23*C23</f>
        <v>1980</v>
      </c>
      <c r="L23" s="393" t="s">
        <v>167</v>
      </c>
      <c r="M23" s="390"/>
      <c r="N23" s="390"/>
      <c r="O23" s="397"/>
    </row>
    <row r="24" spans="1:15">
      <c r="A24" s="732"/>
      <c r="C24" s="733">
        <v>1</v>
      </c>
      <c r="D24" s="733" t="s">
        <v>2</v>
      </c>
      <c r="E24" s="733">
        <f>E7</f>
        <v>700</v>
      </c>
      <c r="F24" s="733" t="s">
        <v>2</v>
      </c>
      <c r="G24" s="733">
        <f>G7</f>
        <v>14</v>
      </c>
      <c r="H24" s="733" t="s">
        <v>2</v>
      </c>
      <c r="I24" s="735">
        <v>0.33</v>
      </c>
      <c r="J24" s="733" t="s">
        <v>3</v>
      </c>
      <c r="K24" s="407">
        <f>I24*G24*E24*C24</f>
        <v>3234</v>
      </c>
      <c r="L24" s="393" t="s">
        <v>167</v>
      </c>
      <c r="M24" s="390"/>
      <c r="N24" s="390"/>
      <c r="O24" s="397"/>
    </row>
    <row r="25" spans="1:15">
      <c r="A25" s="732"/>
      <c r="C25" s="733"/>
      <c r="D25" s="733"/>
      <c r="E25" s="733"/>
      <c r="F25" s="733"/>
      <c r="G25" s="733"/>
      <c r="H25" s="733"/>
      <c r="I25" s="735"/>
      <c r="J25" s="733" t="s">
        <v>21</v>
      </c>
      <c r="K25" s="407">
        <f>SUM(K23:K24)</f>
        <v>5214</v>
      </c>
      <c r="L25" s="393"/>
      <c r="M25" s="390"/>
      <c r="N25" s="390"/>
      <c r="O25" s="397"/>
    </row>
    <row r="26" spans="1:15">
      <c r="A26" s="394"/>
      <c r="B26" s="403">
        <f>K25</f>
        <v>5214</v>
      </c>
      <c r="C26" s="390" t="s">
        <v>6</v>
      </c>
      <c r="D26" s="390"/>
      <c r="H26" s="390"/>
      <c r="K26" s="396" t="s">
        <v>11</v>
      </c>
      <c r="L26" s="402">
        <v>9416.2800000000007</v>
      </c>
      <c r="M26" s="390" t="s">
        <v>360</v>
      </c>
      <c r="N26" s="396" t="s">
        <v>5</v>
      </c>
      <c r="O26" s="397">
        <f>L26*B26/100</f>
        <v>490964.83920000005</v>
      </c>
    </row>
    <row r="27" spans="1:15">
      <c r="A27" s="394">
        <v>5</v>
      </c>
      <c r="B27" s="384" t="s">
        <v>361</v>
      </c>
      <c r="E27" s="395"/>
      <c r="I27" s="395"/>
      <c r="K27" s="396"/>
      <c r="L27" s="393"/>
      <c r="M27" s="390"/>
      <c r="N27" s="390"/>
      <c r="O27" s="397"/>
    </row>
    <row r="28" spans="1:15">
      <c r="A28" s="394"/>
      <c r="B28" s="384" t="s">
        <v>362</v>
      </c>
      <c r="E28" s="395"/>
      <c r="I28" s="395"/>
      <c r="K28" s="396"/>
      <c r="L28" s="393"/>
      <c r="M28" s="390"/>
      <c r="N28" s="390"/>
      <c r="O28" s="397"/>
    </row>
    <row r="29" spans="1:15">
      <c r="A29" s="394"/>
      <c r="B29" s="384" t="s">
        <v>363</v>
      </c>
      <c r="E29" s="395"/>
      <c r="I29" s="395"/>
      <c r="K29" s="396"/>
      <c r="L29" s="393"/>
      <c r="M29" s="390"/>
      <c r="N29" s="390"/>
      <c r="O29" s="397"/>
    </row>
    <row r="30" spans="1:15">
      <c r="A30" s="394"/>
      <c r="C30" s="398">
        <v>1</v>
      </c>
      <c r="D30" s="398" t="s">
        <v>2</v>
      </c>
      <c r="E30" s="398">
        <f>E23</f>
        <v>500</v>
      </c>
      <c r="F30" s="398" t="s">
        <v>2</v>
      </c>
      <c r="G30" s="398">
        <f>G23</f>
        <v>12</v>
      </c>
      <c r="H30" s="398" t="s">
        <v>2</v>
      </c>
      <c r="I30" s="399">
        <v>0.25</v>
      </c>
      <c r="J30" s="384" t="s">
        <v>3</v>
      </c>
      <c r="K30" s="407">
        <f>I30*G30*E30*C30</f>
        <v>1500</v>
      </c>
      <c r="L30" s="393" t="s">
        <v>167</v>
      </c>
      <c r="M30" s="390"/>
      <c r="N30" s="390"/>
      <c r="O30" s="397"/>
    </row>
    <row r="31" spans="1:15">
      <c r="A31" s="732"/>
      <c r="C31" s="733">
        <v>1</v>
      </c>
      <c r="D31" s="733" t="s">
        <v>2</v>
      </c>
      <c r="E31" s="733">
        <f>E24</f>
        <v>700</v>
      </c>
      <c r="F31" s="733" t="s">
        <v>2</v>
      </c>
      <c r="G31" s="733">
        <f>G24</f>
        <v>14</v>
      </c>
      <c r="H31" s="733" t="s">
        <v>2</v>
      </c>
      <c r="I31" s="735">
        <v>0.25</v>
      </c>
      <c r="J31" s="384" t="s">
        <v>3</v>
      </c>
      <c r="K31" s="407">
        <f>I31*G31*E31*C31</f>
        <v>2450</v>
      </c>
      <c r="L31" s="393" t="s">
        <v>167</v>
      </c>
      <c r="M31" s="390"/>
      <c r="N31" s="390"/>
      <c r="O31" s="397"/>
    </row>
    <row r="32" spans="1:15">
      <c r="A32" s="394"/>
      <c r="C32" s="398"/>
      <c r="D32" s="398"/>
      <c r="E32" s="398"/>
      <c r="F32" s="398"/>
      <c r="G32" s="398"/>
      <c r="H32" s="398"/>
      <c r="I32" s="399"/>
      <c r="J32" s="384" t="s">
        <v>21</v>
      </c>
      <c r="K32" s="407">
        <f>SUM(K30:K31)</f>
        <v>3950</v>
      </c>
      <c r="L32" s="393"/>
      <c r="M32" s="390"/>
      <c r="N32" s="390"/>
      <c r="O32" s="397"/>
    </row>
    <row r="33" spans="1:18">
      <c r="A33" s="394"/>
      <c r="B33" s="403">
        <f>K32</f>
        <v>3950</v>
      </c>
      <c r="C33" s="390" t="s">
        <v>6</v>
      </c>
      <c r="D33" s="390"/>
      <c r="H33" s="390"/>
      <c r="K33" s="396" t="s">
        <v>11</v>
      </c>
      <c r="L33" s="827">
        <v>14429.25</v>
      </c>
      <c r="M33" s="390" t="s">
        <v>360</v>
      </c>
      <c r="N33" s="396" t="s">
        <v>5</v>
      </c>
      <c r="O33" s="397">
        <f>L33*B33/100</f>
        <v>569955.375</v>
      </c>
      <c r="P33" s="402"/>
    </row>
    <row r="34" spans="1:18" ht="12.75" customHeight="1">
      <c r="A34" s="394"/>
      <c r="E34" s="395"/>
      <c r="I34" s="395"/>
      <c r="K34" s="396"/>
      <c r="L34" s="393"/>
      <c r="M34" s="390"/>
      <c r="N34" s="390"/>
      <c r="O34" s="397"/>
    </row>
    <row r="35" spans="1:18">
      <c r="A35" s="394">
        <v>6</v>
      </c>
      <c r="B35" s="384" t="s">
        <v>364</v>
      </c>
      <c r="E35" s="395"/>
      <c r="I35" s="395"/>
      <c r="K35" s="396"/>
      <c r="L35" s="393"/>
      <c r="M35" s="390"/>
      <c r="N35" s="390"/>
      <c r="O35" s="397"/>
    </row>
    <row r="36" spans="1:18">
      <c r="A36" s="394"/>
      <c r="B36" s="384" t="s">
        <v>365</v>
      </c>
      <c r="E36" s="395"/>
      <c r="I36" s="395"/>
      <c r="K36" s="396"/>
      <c r="L36" s="393"/>
      <c r="M36" s="390"/>
      <c r="N36" s="390"/>
      <c r="O36" s="397"/>
    </row>
    <row r="37" spans="1:18">
      <c r="A37" s="394"/>
      <c r="B37" s="384" t="s">
        <v>366</v>
      </c>
      <c r="E37" s="395"/>
      <c r="I37" s="395"/>
      <c r="K37" s="396"/>
      <c r="L37" s="393"/>
      <c r="M37" s="390"/>
      <c r="N37" s="390"/>
      <c r="O37" s="397"/>
      <c r="R37" s="384">
        <f>E38</f>
        <v>500</v>
      </c>
    </row>
    <row r="38" spans="1:18">
      <c r="A38" s="394"/>
      <c r="B38" s="384" t="s">
        <v>15</v>
      </c>
      <c r="C38" s="398">
        <v>1</v>
      </c>
      <c r="D38" s="398" t="s">
        <v>2</v>
      </c>
      <c r="E38" s="398">
        <f>E30</f>
        <v>500</v>
      </c>
      <c r="F38" s="733" t="s">
        <v>135</v>
      </c>
      <c r="G38" s="962">
        <f>E31</f>
        <v>700</v>
      </c>
      <c r="H38" s="962"/>
      <c r="I38" s="399">
        <f>I30</f>
        <v>0.25</v>
      </c>
      <c r="J38" s="398" t="s">
        <v>3</v>
      </c>
      <c r="K38" s="400">
        <f>R39*I38</f>
        <v>300</v>
      </c>
      <c r="L38" s="408" t="s">
        <v>187</v>
      </c>
      <c r="R38" s="384">
        <f>G38</f>
        <v>700</v>
      </c>
    </row>
    <row r="39" spans="1:18">
      <c r="A39" s="394"/>
      <c r="B39" s="401">
        <f>K38</f>
        <v>300</v>
      </c>
      <c r="C39" s="390" t="s">
        <v>187</v>
      </c>
      <c r="D39" s="390"/>
      <c r="H39" s="390"/>
      <c r="K39" s="396" t="s">
        <v>11</v>
      </c>
      <c r="L39" s="402">
        <v>3127.41</v>
      </c>
      <c r="M39" s="390" t="s">
        <v>367</v>
      </c>
      <c r="N39" s="409" t="s">
        <v>5</v>
      </c>
      <c r="O39" s="410">
        <f>L39*B39/100</f>
        <v>9382.23</v>
      </c>
      <c r="R39" s="384">
        <f>SUM(R37:R38)</f>
        <v>1200</v>
      </c>
    </row>
    <row r="40" spans="1:18" ht="22.5" customHeight="1">
      <c r="L40" s="390" t="s">
        <v>185</v>
      </c>
      <c r="M40" s="411"/>
      <c r="N40" s="412" t="s">
        <v>5</v>
      </c>
      <c r="O40" s="413">
        <f>SUM(O9:O39)</f>
        <v>1187530.5441999999</v>
      </c>
    </row>
    <row r="41" spans="1:18" s="7" customFormat="1" ht="15.75">
      <c r="A41" s="348"/>
      <c r="B41" s="21"/>
      <c r="C41" s="63"/>
      <c r="E41" s="63"/>
      <c r="H41" s="70"/>
      <c r="I41" s="349"/>
    </row>
  </sheetData>
  <mergeCells count="4">
    <mergeCell ref="A1:O1"/>
    <mergeCell ref="C2:K2"/>
    <mergeCell ref="G17:H17"/>
    <mergeCell ref="G38:H38"/>
  </mergeCells>
  <pageMargins left="0.83" right="0.26" top="0.18" bottom="0.3" header="0.17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Q214"/>
  <sheetViews>
    <sheetView topLeftCell="A79" workbookViewId="0">
      <selection activeCell="R97" sqref="R97"/>
    </sheetView>
  </sheetViews>
  <sheetFormatPr defaultRowHeight="14.25"/>
  <cols>
    <col min="1" max="1" width="4.7109375" style="123" customWidth="1"/>
    <col min="2" max="2" width="10.7109375" style="123" customWidth="1"/>
    <col min="3" max="3" width="3.85546875" style="123" customWidth="1"/>
    <col min="4" max="4" width="5.7109375" style="123" customWidth="1"/>
    <col min="5" max="5" width="7.5703125" style="123" customWidth="1"/>
    <col min="6" max="6" width="3.5703125" style="123" customWidth="1"/>
    <col min="7" max="7" width="6.85546875" style="123" customWidth="1"/>
    <col min="8" max="8" width="2.85546875" style="123" customWidth="1"/>
    <col min="9" max="9" width="9.140625" style="123"/>
    <col min="10" max="10" width="2.85546875" style="123" customWidth="1"/>
    <col min="11" max="11" width="5.140625" style="123" customWidth="1"/>
    <col min="12" max="12" width="3.5703125" style="123" customWidth="1"/>
    <col min="13" max="13" width="10.85546875" style="123" customWidth="1"/>
    <col min="14" max="14" width="7.85546875" style="123" customWidth="1"/>
    <col min="15" max="15" width="3.42578125" style="123" customWidth="1"/>
    <col min="16" max="16" width="11.42578125" style="460" customWidth="1"/>
    <col min="17" max="16384" width="9.140625" style="123"/>
  </cols>
  <sheetData>
    <row r="1" spans="1:17" ht="15">
      <c r="A1" s="989" t="s">
        <v>340</v>
      </c>
      <c r="B1" s="989"/>
      <c r="C1" s="989"/>
      <c r="D1" s="989"/>
      <c r="E1" s="989"/>
      <c r="F1" s="989"/>
      <c r="G1" s="989"/>
      <c r="H1" s="989"/>
      <c r="I1" s="989"/>
      <c r="J1" s="989"/>
      <c r="K1" s="989"/>
      <c r="L1" s="989"/>
      <c r="M1" s="989"/>
      <c r="N1" s="989"/>
      <c r="O1" s="989"/>
      <c r="P1" s="989"/>
    </row>
    <row r="2" spans="1:17" ht="15">
      <c r="A2" s="453" t="s">
        <v>341</v>
      </c>
      <c r="B2" s="453" t="s">
        <v>342</v>
      </c>
      <c r="C2" s="990" t="s">
        <v>343</v>
      </c>
      <c r="D2" s="991"/>
      <c r="E2" s="991"/>
      <c r="F2" s="991"/>
      <c r="G2" s="991"/>
      <c r="H2" s="991"/>
      <c r="I2" s="546" t="s">
        <v>0</v>
      </c>
      <c r="J2" s="546"/>
      <c r="K2" s="546"/>
      <c r="L2" s="546"/>
      <c r="M2" s="546"/>
      <c r="N2" s="454" t="s">
        <v>344</v>
      </c>
      <c r="O2" s="454"/>
      <c r="P2" s="455" t="s">
        <v>345</v>
      </c>
    </row>
    <row r="3" spans="1:17" ht="18.75">
      <c r="A3" s="456"/>
      <c r="B3" s="457" t="s">
        <v>398</v>
      </c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  <c r="N3" s="456"/>
      <c r="O3" s="456"/>
      <c r="P3" s="456"/>
    </row>
    <row r="4" spans="1:17" ht="15">
      <c r="A4" s="458">
        <v>1</v>
      </c>
      <c r="B4" s="123" t="s">
        <v>399</v>
      </c>
      <c r="D4" s="372"/>
      <c r="E4" s="372"/>
      <c r="F4" s="372"/>
      <c r="G4" s="372"/>
      <c r="H4" s="372"/>
      <c r="I4" s="459" t="s">
        <v>400</v>
      </c>
      <c r="J4" s="459"/>
      <c r="K4" s="459"/>
      <c r="L4" s="372"/>
      <c r="M4" s="372"/>
    </row>
    <row r="5" spans="1:17" ht="15">
      <c r="A5" s="461"/>
      <c r="C5" s="372"/>
      <c r="D5" s="372"/>
      <c r="E5" s="372"/>
      <c r="F5" s="372"/>
      <c r="G5" s="372"/>
      <c r="H5" s="372"/>
      <c r="I5" s="372"/>
      <c r="J5" s="372"/>
      <c r="K5" s="372"/>
      <c r="L5" s="372"/>
      <c r="M5" s="372"/>
      <c r="P5" s="462"/>
    </row>
    <row r="6" spans="1:17" ht="15">
      <c r="A6" s="461"/>
      <c r="B6" s="123" t="s">
        <v>401</v>
      </c>
      <c r="C6" s="372">
        <v>1</v>
      </c>
      <c r="D6" s="372" t="s">
        <v>2</v>
      </c>
      <c r="E6" s="463">
        <v>4000</v>
      </c>
      <c r="F6" s="372" t="s">
        <v>2</v>
      </c>
      <c r="G6" s="464">
        <v>4.75</v>
      </c>
      <c r="H6" s="372" t="s">
        <v>2</v>
      </c>
      <c r="I6" s="465">
        <v>1</v>
      </c>
      <c r="J6" s="465"/>
      <c r="K6" s="465"/>
      <c r="L6" s="466" t="s">
        <v>3</v>
      </c>
      <c r="M6" s="467">
        <f>C6*E6*G6*I6</f>
        <v>19000</v>
      </c>
      <c r="N6" s="468" t="s">
        <v>6</v>
      </c>
      <c r="Q6" s="462"/>
    </row>
    <row r="7" spans="1:17" ht="15">
      <c r="A7" s="461"/>
      <c r="I7" s="469" t="s">
        <v>373</v>
      </c>
      <c r="J7" s="469"/>
      <c r="K7" s="469"/>
      <c r="L7" s="470" t="s">
        <v>3</v>
      </c>
      <c r="M7" s="471">
        <f>M6</f>
        <v>19000</v>
      </c>
      <c r="N7" s="123" t="s">
        <v>6</v>
      </c>
    </row>
    <row r="8" spans="1:17" ht="15">
      <c r="A8" s="461"/>
      <c r="I8" s="458"/>
      <c r="J8" s="458"/>
      <c r="K8" s="458"/>
      <c r="L8" s="461"/>
      <c r="M8" s="472"/>
    </row>
    <row r="9" spans="1:17" ht="15">
      <c r="A9" s="461"/>
      <c r="B9" s="473">
        <f>M7</f>
        <v>19000</v>
      </c>
      <c r="C9" s="474" t="s">
        <v>6</v>
      </c>
      <c r="D9" s="474"/>
      <c r="E9" s="474"/>
      <c r="F9" s="474"/>
      <c r="G9" s="475" t="s">
        <v>11</v>
      </c>
      <c r="H9" s="992">
        <v>605</v>
      </c>
      <c r="I9" s="992"/>
      <c r="J9" s="476"/>
      <c r="K9" s="476"/>
      <c r="L9" s="461"/>
      <c r="M9" s="475"/>
      <c r="N9" s="461" t="s">
        <v>27</v>
      </c>
      <c r="O9" s="461" t="s">
        <v>402</v>
      </c>
      <c r="P9" s="477">
        <f>B9*H9/100</f>
        <v>114950</v>
      </c>
    </row>
    <row r="10" spans="1:17" ht="15">
      <c r="A10" s="461"/>
    </row>
    <row r="11" spans="1:17" ht="15">
      <c r="A11" s="458">
        <v>2</v>
      </c>
      <c r="B11" s="478" t="s">
        <v>403</v>
      </c>
      <c r="E11" s="479"/>
      <c r="H11" s="461" t="s">
        <v>404</v>
      </c>
      <c r="I11" s="479"/>
      <c r="J11" s="479"/>
      <c r="K11" s="479"/>
    </row>
    <row r="12" spans="1:17" ht="15">
      <c r="A12" s="353"/>
      <c r="B12" s="123" t="s">
        <v>401</v>
      </c>
      <c r="E12" s="479"/>
      <c r="I12" s="479"/>
      <c r="J12" s="479"/>
      <c r="K12" s="479"/>
    </row>
    <row r="13" spans="1:17" ht="15">
      <c r="A13" s="353"/>
      <c r="B13" s="480"/>
      <c r="C13" s="372">
        <v>50</v>
      </c>
      <c r="D13" s="372" t="s">
        <v>2</v>
      </c>
      <c r="E13" s="372">
        <v>6</v>
      </c>
      <c r="F13" s="372" t="s">
        <v>2</v>
      </c>
      <c r="G13" s="481">
        <v>3</v>
      </c>
      <c r="H13" s="372" t="s">
        <v>2</v>
      </c>
      <c r="I13" s="465">
        <v>0.5</v>
      </c>
      <c r="J13" s="465"/>
      <c r="K13" s="465"/>
      <c r="L13" s="123" t="s">
        <v>3</v>
      </c>
      <c r="M13" s="480">
        <f>C13*E13*G13*I13</f>
        <v>450</v>
      </c>
      <c r="N13" s="123" t="s">
        <v>6</v>
      </c>
    </row>
    <row r="14" spans="1:17" ht="15">
      <c r="A14" s="353"/>
      <c r="E14" s="482"/>
      <c r="I14" s="483" t="s">
        <v>373</v>
      </c>
      <c r="J14" s="483"/>
      <c r="K14" s="483"/>
      <c r="L14" s="470" t="s">
        <v>3</v>
      </c>
      <c r="M14" s="484">
        <f>M13</f>
        <v>450</v>
      </c>
      <c r="N14" s="485" t="s">
        <v>6</v>
      </c>
    </row>
    <row r="15" spans="1:17" ht="15">
      <c r="A15" s="353"/>
      <c r="E15" s="482"/>
      <c r="I15" s="372"/>
      <c r="J15" s="372"/>
      <c r="K15" s="372"/>
    </row>
    <row r="16" spans="1:17" ht="15">
      <c r="A16" s="353"/>
      <c r="B16" s="473">
        <f>M14</f>
        <v>450</v>
      </c>
      <c r="C16" s="993" t="s">
        <v>6</v>
      </c>
      <c r="D16" s="993"/>
      <c r="E16" s="461"/>
      <c r="F16" s="461"/>
      <c r="G16" s="475" t="s">
        <v>11</v>
      </c>
      <c r="H16" s="993">
        <v>3327.5</v>
      </c>
      <c r="I16" s="993"/>
      <c r="J16" s="473"/>
      <c r="K16" s="473"/>
      <c r="L16" s="461"/>
      <c r="M16" s="475"/>
      <c r="N16" s="461" t="s">
        <v>27</v>
      </c>
      <c r="O16" s="461" t="s">
        <v>402</v>
      </c>
      <c r="P16" s="477">
        <f>B16*H16/100</f>
        <v>14973.75</v>
      </c>
    </row>
    <row r="17" spans="1:16" ht="15">
      <c r="A17" s="353"/>
      <c r="B17" s="480"/>
      <c r="C17" s="476"/>
      <c r="D17" s="476"/>
      <c r="E17" s="461"/>
      <c r="M17" s="475"/>
      <c r="N17" s="472"/>
      <c r="O17" s="475"/>
      <c r="P17" s="477"/>
    </row>
    <row r="18" spans="1:16" ht="15">
      <c r="A18" s="486">
        <v>3</v>
      </c>
      <c r="B18" s="487" t="s">
        <v>405</v>
      </c>
      <c r="C18" s="487"/>
      <c r="D18" s="487"/>
      <c r="E18" s="487"/>
      <c r="F18" s="487"/>
      <c r="G18" s="487"/>
      <c r="H18" s="487"/>
      <c r="I18" s="487"/>
      <c r="J18" s="487"/>
      <c r="K18" s="487"/>
      <c r="L18" s="488" t="s">
        <v>406</v>
      </c>
      <c r="M18" s="487"/>
      <c r="N18" s="487"/>
      <c r="O18" s="475"/>
      <c r="P18" s="477"/>
    </row>
    <row r="19" spans="1:16" ht="15">
      <c r="A19" s="486"/>
      <c r="B19" s="489"/>
      <c r="C19" s="489"/>
      <c r="D19" s="489"/>
      <c r="E19" s="489"/>
      <c r="F19" s="489"/>
      <c r="G19" s="489"/>
      <c r="H19" s="489"/>
      <c r="I19" s="489"/>
      <c r="J19" s="489"/>
      <c r="K19" s="489"/>
      <c r="L19" s="489"/>
      <c r="M19" s="489"/>
      <c r="N19" s="489"/>
      <c r="O19" s="475"/>
      <c r="P19" s="477"/>
    </row>
    <row r="20" spans="1:16" ht="15">
      <c r="A20" s="486"/>
      <c r="B20" s="489"/>
      <c r="C20" s="372">
        <v>2</v>
      </c>
      <c r="D20" s="372" t="s">
        <v>2</v>
      </c>
      <c r="E20" s="372">
        <v>800</v>
      </c>
      <c r="F20" s="372" t="s">
        <v>2</v>
      </c>
      <c r="G20" s="464">
        <v>0.75</v>
      </c>
      <c r="H20" s="372" t="s">
        <v>2</v>
      </c>
      <c r="I20" s="465">
        <v>1</v>
      </c>
      <c r="J20" s="465"/>
      <c r="K20" s="465"/>
      <c r="L20" s="123" t="s">
        <v>3</v>
      </c>
      <c r="M20" s="481">
        <v>225</v>
      </c>
      <c r="N20" s="123" t="s">
        <v>6</v>
      </c>
      <c r="O20" s="475"/>
      <c r="P20" s="477"/>
    </row>
    <row r="21" spans="1:16" ht="15">
      <c r="A21" s="486"/>
      <c r="B21" s="489"/>
      <c r="E21" s="482"/>
      <c r="I21" s="483" t="s">
        <v>373</v>
      </c>
      <c r="J21" s="483"/>
      <c r="K21" s="483"/>
      <c r="L21" s="470" t="s">
        <v>3</v>
      </c>
      <c r="M21" s="547">
        <f>M20</f>
        <v>225</v>
      </c>
      <c r="N21" s="485" t="s">
        <v>6</v>
      </c>
      <c r="O21" s="475"/>
      <c r="P21" s="477"/>
    </row>
    <row r="22" spans="1:16" ht="15">
      <c r="A22" s="486"/>
      <c r="B22" s="489"/>
      <c r="C22" s="489"/>
      <c r="D22" s="489"/>
      <c r="E22" s="489"/>
      <c r="F22" s="489"/>
      <c r="G22" s="489"/>
      <c r="H22" s="489"/>
      <c r="I22" s="489"/>
      <c r="J22" s="489"/>
      <c r="K22" s="489"/>
      <c r="L22" s="489"/>
      <c r="M22" s="489"/>
      <c r="N22" s="489"/>
      <c r="O22" s="475"/>
      <c r="P22" s="477"/>
    </row>
    <row r="23" spans="1:16" ht="15">
      <c r="A23" s="469"/>
      <c r="B23" s="446">
        <f>M21</f>
        <v>225</v>
      </c>
      <c r="C23" s="995" t="s">
        <v>10</v>
      </c>
      <c r="D23" s="995"/>
      <c r="E23" s="461" t="s">
        <v>401</v>
      </c>
      <c r="F23" s="461"/>
      <c r="G23" s="475" t="s">
        <v>11</v>
      </c>
      <c r="H23" s="993">
        <v>1285.6300000000001</v>
      </c>
      <c r="I23" s="993"/>
      <c r="J23" s="473"/>
      <c r="K23" s="473"/>
      <c r="L23" s="461"/>
      <c r="M23" s="475"/>
      <c r="N23" s="461" t="s">
        <v>27</v>
      </c>
      <c r="O23" s="461" t="s">
        <v>402</v>
      </c>
      <c r="P23" s="477">
        <f>B23*H23/100</f>
        <v>2892.6675</v>
      </c>
    </row>
    <row r="24" spans="1:16" ht="15">
      <c r="A24" s="353"/>
      <c r="B24" s="480"/>
      <c r="C24" s="476"/>
      <c r="D24" s="476"/>
      <c r="E24" s="461"/>
      <c r="M24" s="475"/>
      <c r="N24" s="472"/>
      <c r="O24" s="475"/>
      <c r="P24" s="477"/>
    </row>
    <row r="25" spans="1:16" ht="15">
      <c r="A25" s="458">
        <v>4</v>
      </c>
      <c r="B25" s="123" t="s">
        <v>407</v>
      </c>
    </row>
    <row r="26" spans="1:16" ht="15">
      <c r="A26" s="461"/>
      <c r="B26" s="485" t="s">
        <v>408</v>
      </c>
      <c r="C26" s="485"/>
      <c r="D26" s="469"/>
      <c r="E26" s="491"/>
      <c r="F26" s="485"/>
      <c r="G26" s="492"/>
      <c r="H26" s="492"/>
      <c r="I26" s="485"/>
      <c r="J26" s="485"/>
      <c r="K26" s="485"/>
      <c r="L26" s="485"/>
      <c r="M26" s="485"/>
    </row>
    <row r="27" spans="1:16" ht="15">
      <c r="A27" s="461"/>
      <c r="B27" s="485" t="s">
        <v>409</v>
      </c>
      <c r="C27" s="485"/>
      <c r="D27" s="469"/>
      <c r="E27" s="491"/>
      <c r="F27" s="485"/>
      <c r="G27" s="492"/>
      <c r="H27" s="492"/>
      <c r="I27" s="470"/>
      <c r="J27" s="470"/>
      <c r="K27" s="470"/>
      <c r="L27" s="461" t="s">
        <v>410</v>
      </c>
      <c r="M27" s="485"/>
    </row>
    <row r="28" spans="1:16">
      <c r="E28" s="493"/>
      <c r="G28" s="494"/>
      <c r="H28" s="494"/>
      <c r="I28" s="372"/>
      <c r="J28" s="372"/>
      <c r="K28" s="372"/>
    </row>
    <row r="29" spans="1:16">
      <c r="B29" s="123" t="s">
        <v>411</v>
      </c>
      <c r="C29" s="372">
        <v>1</v>
      </c>
      <c r="D29" s="372" t="s">
        <v>2</v>
      </c>
      <c r="E29" s="463">
        <v>3000</v>
      </c>
      <c r="F29" s="372" t="s">
        <v>2</v>
      </c>
      <c r="G29" s="495">
        <f>G49</f>
        <v>4.75</v>
      </c>
      <c r="H29" s="372" t="s">
        <v>2</v>
      </c>
      <c r="I29" s="465">
        <v>7</v>
      </c>
      <c r="J29" s="465"/>
      <c r="K29" s="465"/>
      <c r="L29" s="372" t="s">
        <v>3</v>
      </c>
      <c r="M29" s="464">
        <f>C29*E29*G29*I29</f>
        <v>99750</v>
      </c>
      <c r="N29" s="123" t="s">
        <v>6</v>
      </c>
    </row>
    <row r="30" spans="1:16">
      <c r="C30" s="372"/>
      <c r="D30" s="372"/>
      <c r="E30" s="372"/>
      <c r="F30" s="372"/>
      <c r="G30" s="464"/>
      <c r="H30" s="372"/>
      <c r="I30" s="465"/>
      <c r="J30" s="465"/>
      <c r="K30" s="465"/>
      <c r="L30" s="372"/>
      <c r="M30" s="464"/>
    </row>
    <row r="31" spans="1:16">
      <c r="B31" s="123" t="s">
        <v>412</v>
      </c>
      <c r="C31" s="372">
        <v>1</v>
      </c>
      <c r="D31" s="372" t="s">
        <v>2</v>
      </c>
      <c r="E31" s="463">
        <v>1000</v>
      </c>
      <c r="F31" s="372" t="s">
        <v>2</v>
      </c>
      <c r="G31" s="495">
        <v>5.75</v>
      </c>
      <c r="H31" s="372" t="s">
        <v>2</v>
      </c>
      <c r="I31" s="465">
        <v>7</v>
      </c>
      <c r="J31" s="465"/>
      <c r="K31" s="465"/>
      <c r="L31" s="372" t="s">
        <v>3</v>
      </c>
      <c r="M31" s="481">
        <f>C31*E31*G31*I31</f>
        <v>40250</v>
      </c>
      <c r="N31" s="123" t="s">
        <v>6</v>
      </c>
    </row>
    <row r="32" spans="1:16">
      <c r="C32" s="372"/>
      <c r="D32" s="372"/>
      <c r="E32" s="481"/>
      <c r="F32" s="372"/>
      <c r="G32" s="372"/>
      <c r="H32" s="372"/>
      <c r="I32" s="483" t="s">
        <v>373</v>
      </c>
      <c r="J32" s="483"/>
      <c r="K32" s="483"/>
      <c r="L32" s="483" t="s">
        <v>3</v>
      </c>
      <c r="M32" s="547">
        <f>SUM(M29:M31)</f>
        <v>140000</v>
      </c>
      <c r="N32" s="485" t="s">
        <v>6</v>
      </c>
    </row>
    <row r="33" spans="1:16">
      <c r="E33" s="493"/>
      <c r="G33" s="494"/>
      <c r="H33" s="494"/>
      <c r="I33" s="372"/>
      <c r="J33" s="372"/>
      <c r="K33" s="372"/>
    </row>
    <row r="34" spans="1:16" ht="15">
      <c r="B34" s="473">
        <f>M32</f>
        <v>140000</v>
      </c>
      <c r="C34" s="996" t="s">
        <v>6</v>
      </c>
      <c r="D34" s="996"/>
      <c r="E34" s="461"/>
      <c r="F34" s="461"/>
      <c r="G34" s="475" t="s">
        <v>11</v>
      </c>
      <c r="H34" s="993">
        <v>3176.25</v>
      </c>
      <c r="I34" s="993"/>
      <c r="J34" s="473"/>
      <c r="K34" s="473"/>
      <c r="L34" s="461"/>
      <c r="M34" s="475"/>
      <c r="N34" s="461" t="s">
        <v>86</v>
      </c>
      <c r="O34" s="461" t="s">
        <v>402</v>
      </c>
      <c r="P34" s="477">
        <f>B34*H34/1000</f>
        <v>444675</v>
      </c>
    </row>
    <row r="35" spans="1:16">
      <c r="B35" s="375"/>
      <c r="G35" s="479"/>
      <c r="H35" s="375"/>
      <c r="I35" s="375"/>
      <c r="J35" s="375"/>
      <c r="K35" s="375"/>
      <c r="M35" s="479"/>
      <c r="P35" s="462"/>
    </row>
    <row r="36" spans="1:16" ht="15">
      <c r="A36" s="458">
        <v>5</v>
      </c>
      <c r="B36" s="123" t="s">
        <v>413</v>
      </c>
      <c r="F36" s="461" t="s">
        <v>414</v>
      </c>
    </row>
    <row r="37" spans="1:16">
      <c r="E37" s="493"/>
      <c r="G37" s="494"/>
      <c r="H37" s="494"/>
      <c r="I37" s="372"/>
      <c r="J37" s="372"/>
      <c r="K37" s="372"/>
    </row>
    <row r="38" spans="1:16">
      <c r="B38" s="123" t="s">
        <v>411</v>
      </c>
      <c r="C38" s="372">
        <v>1</v>
      </c>
      <c r="D38" s="372" t="s">
        <v>2</v>
      </c>
      <c r="E38" s="496">
        <v>3000</v>
      </c>
      <c r="F38" s="372" t="s">
        <v>2</v>
      </c>
      <c r="G38" s="497">
        <f>G29</f>
        <v>4.75</v>
      </c>
      <c r="H38" s="372" t="s">
        <v>2</v>
      </c>
      <c r="I38" s="465">
        <v>2</v>
      </c>
      <c r="J38" s="465"/>
      <c r="K38" s="465"/>
      <c r="L38" s="372" t="s">
        <v>3</v>
      </c>
      <c r="M38" s="481">
        <f>C38*E38*G38*I38</f>
        <v>28500</v>
      </c>
      <c r="N38" s="123" t="s">
        <v>6</v>
      </c>
    </row>
    <row r="39" spans="1:16">
      <c r="C39" s="372"/>
      <c r="D39" s="372"/>
      <c r="E39" s="496"/>
      <c r="F39" s="372"/>
      <c r="G39" s="497"/>
      <c r="H39" s="372"/>
      <c r="I39" s="465"/>
      <c r="J39" s="465"/>
      <c r="K39" s="465"/>
      <c r="L39" s="372"/>
      <c r="M39" s="481"/>
    </row>
    <row r="40" spans="1:16">
      <c r="B40" s="123" t="s">
        <v>412</v>
      </c>
      <c r="C40" s="372">
        <v>1</v>
      </c>
      <c r="D40" s="372" t="s">
        <v>2</v>
      </c>
      <c r="E40" s="496">
        <v>1000</v>
      </c>
      <c r="F40" s="372" t="s">
        <v>2</v>
      </c>
      <c r="G40" s="497">
        <v>5.75</v>
      </c>
      <c r="H40" s="372" t="s">
        <v>2</v>
      </c>
      <c r="I40" s="465">
        <v>2</v>
      </c>
      <c r="J40" s="465"/>
      <c r="K40" s="465"/>
      <c r="L40" s="372" t="s">
        <v>3</v>
      </c>
      <c r="M40" s="481">
        <f>C40*E40*G40*I40</f>
        <v>11500</v>
      </c>
      <c r="N40" s="123" t="s">
        <v>6</v>
      </c>
    </row>
    <row r="41" spans="1:16">
      <c r="C41" s="372"/>
      <c r="D41" s="372"/>
      <c r="E41" s="481"/>
      <c r="F41" s="372"/>
      <c r="G41" s="372"/>
      <c r="H41" s="372"/>
      <c r="I41" s="483" t="s">
        <v>373</v>
      </c>
      <c r="J41" s="483"/>
      <c r="K41" s="483"/>
      <c r="L41" s="483" t="s">
        <v>3</v>
      </c>
      <c r="M41" s="547">
        <f>SUM(M38:M40)</f>
        <v>40000</v>
      </c>
      <c r="N41" s="485" t="s">
        <v>6</v>
      </c>
    </row>
    <row r="42" spans="1:16">
      <c r="E42" s="493"/>
      <c r="G42" s="494"/>
      <c r="H42" s="494"/>
      <c r="I42" s="372"/>
      <c r="J42" s="372"/>
      <c r="K42" s="372"/>
      <c r="M42" s="493"/>
    </row>
    <row r="43" spans="1:16" ht="15">
      <c r="B43" s="473">
        <f>M41</f>
        <v>40000</v>
      </c>
      <c r="C43" s="461"/>
      <c r="D43" s="461" t="s">
        <v>6</v>
      </c>
      <c r="E43" s="461"/>
      <c r="F43" s="461"/>
      <c r="G43" s="475" t="s">
        <v>11</v>
      </c>
      <c r="H43" s="993">
        <v>1058.75</v>
      </c>
      <c r="I43" s="993"/>
      <c r="J43" s="473"/>
      <c r="K43" s="473"/>
      <c r="L43" s="461"/>
      <c r="M43" s="475"/>
      <c r="N43" s="461" t="s">
        <v>86</v>
      </c>
      <c r="O43" s="461" t="s">
        <v>402</v>
      </c>
      <c r="P43" s="477">
        <f>B43*H43/1000</f>
        <v>42350</v>
      </c>
    </row>
    <row r="44" spans="1:16" ht="15">
      <c r="A44" s="498"/>
    </row>
    <row r="45" spans="1:16" ht="15">
      <c r="A45" s="458">
        <v>6</v>
      </c>
      <c r="B45" s="123" t="s">
        <v>415</v>
      </c>
      <c r="D45" s="461"/>
      <c r="E45" s="461"/>
      <c r="F45" s="461"/>
      <c r="G45" s="461"/>
      <c r="H45" s="461"/>
      <c r="I45" s="461"/>
      <c r="J45" s="461"/>
      <c r="K45" s="461"/>
      <c r="L45" s="461"/>
      <c r="M45" s="461"/>
      <c r="N45" s="461"/>
      <c r="O45" s="461"/>
      <c r="P45" s="477"/>
    </row>
    <row r="46" spans="1:16" ht="15">
      <c r="A46" s="458"/>
      <c r="B46" s="123" t="s">
        <v>304</v>
      </c>
      <c r="D46" s="461"/>
      <c r="E46" s="461"/>
      <c r="F46" s="461"/>
      <c r="G46" s="461"/>
      <c r="H46" s="461"/>
      <c r="I46" s="461"/>
      <c r="J46" s="461"/>
      <c r="K46" s="461"/>
      <c r="L46" s="461"/>
      <c r="M46" s="461"/>
      <c r="N46" s="461"/>
      <c r="O46" s="461"/>
      <c r="P46" s="477"/>
    </row>
    <row r="47" spans="1:16" ht="15">
      <c r="A47" s="458"/>
      <c r="B47" s="123" t="s">
        <v>416</v>
      </c>
      <c r="D47" s="461"/>
      <c r="E47" s="461"/>
      <c r="F47" s="461"/>
      <c r="G47" s="461"/>
      <c r="H47" s="461"/>
      <c r="I47" s="461" t="s">
        <v>417</v>
      </c>
      <c r="J47" s="461"/>
      <c r="K47" s="461"/>
      <c r="L47" s="461"/>
      <c r="M47" s="461"/>
      <c r="N47" s="461"/>
      <c r="O47" s="461"/>
      <c r="P47" s="477"/>
    </row>
    <row r="48" spans="1:16" ht="15">
      <c r="A48" s="458"/>
      <c r="B48" s="472"/>
      <c r="C48" s="461"/>
      <c r="D48" s="461"/>
      <c r="E48" s="461"/>
      <c r="F48" s="461"/>
      <c r="G48" s="461"/>
      <c r="H48" s="461"/>
      <c r="I48" s="461"/>
      <c r="J48" s="461"/>
      <c r="K48" s="461"/>
      <c r="L48" s="461"/>
      <c r="M48" s="461"/>
      <c r="N48" s="461"/>
      <c r="O48" s="461"/>
      <c r="P48" s="477"/>
    </row>
    <row r="49" spans="1:16" ht="15">
      <c r="A49" s="458"/>
      <c r="B49" s="480" t="s">
        <v>411</v>
      </c>
      <c r="C49" s="469">
        <v>1</v>
      </c>
      <c r="D49" s="469" t="s">
        <v>2</v>
      </c>
      <c r="E49" s="469">
        <f>E29</f>
        <v>3000</v>
      </c>
      <c r="F49" s="469" t="s">
        <v>2</v>
      </c>
      <c r="G49" s="469">
        <v>4.75</v>
      </c>
      <c r="H49" s="469" t="s">
        <v>2</v>
      </c>
      <c r="I49" s="499">
        <v>0.5</v>
      </c>
      <c r="J49" s="499"/>
      <c r="K49" s="499"/>
      <c r="L49" s="469" t="s">
        <v>3</v>
      </c>
      <c r="M49" s="512">
        <f>I49*G49*E49*C49</f>
        <v>7125</v>
      </c>
      <c r="N49" s="123" t="s">
        <v>6</v>
      </c>
      <c r="O49" s="461"/>
      <c r="P49" s="477"/>
    </row>
    <row r="50" spans="1:16" ht="15">
      <c r="A50" s="458"/>
      <c r="B50" s="480"/>
      <c r="C50" s="469"/>
      <c r="D50" s="469"/>
      <c r="E50" s="469"/>
      <c r="F50" s="469"/>
      <c r="G50" s="469"/>
      <c r="H50" s="469"/>
      <c r="I50" s="499"/>
      <c r="J50" s="499"/>
      <c r="K50" s="499"/>
      <c r="L50" s="469"/>
      <c r="M50" s="512"/>
      <c r="O50" s="461"/>
      <c r="P50" s="477"/>
    </row>
    <row r="51" spans="1:16" ht="15">
      <c r="A51" s="458"/>
      <c r="B51" s="480" t="s">
        <v>412</v>
      </c>
      <c r="C51" s="469">
        <v>1</v>
      </c>
      <c r="D51" s="469" t="s">
        <v>2</v>
      </c>
      <c r="E51" s="469">
        <f>E31</f>
        <v>1000</v>
      </c>
      <c r="F51" s="469" t="s">
        <v>2</v>
      </c>
      <c r="G51" s="499">
        <f>G31</f>
        <v>5.75</v>
      </c>
      <c r="H51" s="469" t="s">
        <v>2</v>
      </c>
      <c r="I51" s="500">
        <v>0.5</v>
      </c>
      <c r="J51" s="500"/>
      <c r="K51" s="500"/>
      <c r="L51" s="469" t="s">
        <v>3</v>
      </c>
      <c r="M51" s="512">
        <f>I51*G51*E51*C51</f>
        <v>2875</v>
      </c>
      <c r="N51" s="123" t="s">
        <v>6</v>
      </c>
      <c r="O51" s="461"/>
      <c r="P51" s="477"/>
    </row>
    <row r="52" spans="1:16" ht="15">
      <c r="A52" s="458"/>
      <c r="B52" s="480"/>
      <c r="D52" s="372"/>
      <c r="E52" s="372"/>
      <c r="F52" s="372"/>
      <c r="G52" s="480"/>
      <c r="I52" s="468"/>
      <c r="J52" s="468"/>
      <c r="K52" s="468"/>
      <c r="M52" s="493"/>
      <c r="O52" s="461"/>
      <c r="P52" s="477"/>
    </row>
    <row r="53" spans="1:16" ht="15">
      <c r="A53" s="458"/>
      <c r="B53" s="480"/>
      <c r="I53" s="483" t="s">
        <v>373</v>
      </c>
      <c r="J53" s="483"/>
      <c r="K53" s="483"/>
      <c r="L53" s="470" t="s">
        <v>3</v>
      </c>
      <c r="M53" s="548">
        <f>SUM(M49:M52)</f>
        <v>10000</v>
      </c>
      <c r="N53" s="485" t="s">
        <v>6</v>
      </c>
      <c r="P53" s="462"/>
    </row>
    <row r="54" spans="1:16" ht="15">
      <c r="A54" s="458"/>
      <c r="B54" s="480"/>
      <c r="I54" s="483"/>
      <c r="J54" s="483"/>
      <c r="K54" s="483"/>
      <c r="L54" s="470"/>
      <c r="M54" s="501"/>
      <c r="N54" s="485"/>
      <c r="P54" s="462"/>
    </row>
    <row r="55" spans="1:16" ht="15">
      <c r="A55" s="458"/>
      <c r="B55" s="473">
        <f>M53</f>
        <v>10000</v>
      </c>
      <c r="C55" s="996" t="s">
        <v>6</v>
      </c>
      <c r="D55" s="996"/>
      <c r="E55" s="461"/>
      <c r="F55" s="461"/>
      <c r="G55" s="475" t="str">
        <f>G173</f>
        <v>@Rs.</v>
      </c>
      <c r="H55" s="997">
        <v>11288.75</v>
      </c>
      <c r="I55" s="997"/>
      <c r="J55" s="502"/>
      <c r="K55" s="502"/>
      <c r="L55" s="461"/>
      <c r="M55" s="475"/>
      <c r="N55" s="461" t="s">
        <v>27</v>
      </c>
      <c r="O55" s="461" t="s">
        <v>402</v>
      </c>
      <c r="P55" s="477">
        <f>B55*H55/100</f>
        <v>1128875</v>
      </c>
    </row>
    <row r="56" spans="1:16" ht="15">
      <c r="A56" s="498"/>
    </row>
    <row r="57" spans="1:16" ht="15">
      <c r="A57" s="458">
        <v>7</v>
      </c>
      <c r="B57" s="123" t="s">
        <v>415</v>
      </c>
      <c r="D57" s="461"/>
      <c r="E57" s="461"/>
      <c r="F57" s="461"/>
      <c r="G57" s="461"/>
      <c r="H57" s="461"/>
      <c r="I57" s="461"/>
      <c r="J57" s="461"/>
      <c r="K57" s="461"/>
      <c r="L57" s="461"/>
      <c r="M57" s="461"/>
      <c r="N57" s="461"/>
      <c r="O57" s="461"/>
      <c r="P57" s="477"/>
    </row>
    <row r="58" spans="1:16" ht="15">
      <c r="A58" s="458"/>
      <c r="B58" s="123" t="s">
        <v>304</v>
      </c>
      <c r="D58" s="461"/>
      <c r="E58" s="461"/>
      <c r="F58" s="461"/>
      <c r="G58" s="461"/>
      <c r="H58" s="461"/>
      <c r="I58" s="461"/>
      <c r="J58" s="461"/>
      <c r="K58" s="461"/>
      <c r="L58" s="461"/>
      <c r="M58" s="461"/>
      <c r="N58" s="461"/>
      <c r="O58" s="461"/>
      <c r="P58" s="477"/>
    </row>
    <row r="59" spans="1:16" ht="15">
      <c r="A59" s="458"/>
      <c r="B59" s="123" t="s">
        <v>418</v>
      </c>
      <c r="D59" s="461"/>
      <c r="E59" s="461"/>
      <c r="F59" s="461"/>
      <c r="G59" s="461"/>
      <c r="H59" s="461"/>
      <c r="I59" s="461"/>
      <c r="J59" s="461"/>
      <c r="K59" s="461"/>
      <c r="L59" s="461"/>
      <c r="M59" s="461"/>
      <c r="N59" s="461"/>
      <c r="O59" s="461"/>
      <c r="P59" s="477"/>
    </row>
    <row r="60" spans="1:16" ht="15">
      <c r="A60" s="458"/>
      <c r="B60" s="472"/>
      <c r="C60" s="461"/>
      <c r="D60" s="461"/>
      <c r="E60" s="461"/>
      <c r="F60" s="461"/>
      <c r="G60" s="461"/>
      <c r="H60" s="461"/>
      <c r="I60" s="461"/>
      <c r="J60" s="461"/>
      <c r="K60" s="461"/>
      <c r="L60" s="461"/>
      <c r="M60" s="461"/>
      <c r="N60" s="461"/>
      <c r="O60" s="461"/>
      <c r="P60" s="477"/>
    </row>
    <row r="61" spans="1:16" ht="15">
      <c r="A61" s="458"/>
      <c r="B61" s="472" t="s">
        <v>411</v>
      </c>
      <c r="C61" s="469">
        <v>1</v>
      </c>
      <c r="D61" s="469" t="s">
        <v>2</v>
      </c>
      <c r="E61" s="469">
        <f>E29</f>
        <v>3000</v>
      </c>
      <c r="F61" s="469" t="s">
        <v>2</v>
      </c>
      <c r="G61" s="469">
        <v>3.25</v>
      </c>
      <c r="H61" s="469" t="s">
        <v>2</v>
      </c>
      <c r="I61" s="499">
        <v>1.62</v>
      </c>
      <c r="J61" s="499"/>
      <c r="K61" s="499"/>
      <c r="L61" s="469" t="s">
        <v>3</v>
      </c>
      <c r="M61" s="512">
        <f>I61*G61*E61*C61</f>
        <v>15795.000000000002</v>
      </c>
      <c r="N61" s="123" t="s">
        <v>6</v>
      </c>
      <c r="O61" s="461"/>
      <c r="P61" s="477"/>
    </row>
    <row r="62" spans="1:16" ht="15">
      <c r="A62" s="458"/>
      <c r="B62" s="480"/>
      <c r="C62" s="469"/>
      <c r="D62" s="469"/>
      <c r="E62" s="469"/>
      <c r="F62" s="469"/>
      <c r="G62" s="469"/>
      <c r="H62" s="469"/>
      <c r="I62" s="499"/>
      <c r="J62" s="499"/>
      <c r="K62" s="499"/>
      <c r="L62" s="469"/>
      <c r="M62" s="499"/>
      <c r="O62" s="461"/>
      <c r="P62" s="477"/>
    </row>
    <row r="63" spans="1:16" ht="15">
      <c r="A63" s="458"/>
      <c r="B63" s="472" t="s">
        <v>33</v>
      </c>
      <c r="C63" s="469">
        <v>0.5</v>
      </c>
      <c r="D63" s="469" t="s">
        <v>2</v>
      </c>
      <c r="E63" s="469">
        <v>3000</v>
      </c>
      <c r="F63" s="469" t="s">
        <v>2</v>
      </c>
      <c r="G63" s="469">
        <v>0.78500000000000003</v>
      </c>
      <c r="H63" s="469" t="s">
        <v>2</v>
      </c>
      <c r="I63" s="499">
        <v>3.25</v>
      </c>
      <c r="J63" s="499" t="s">
        <v>2</v>
      </c>
      <c r="K63" s="499">
        <v>3.25</v>
      </c>
      <c r="L63" s="469" t="s">
        <v>3</v>
      </c>
      <c r="M63" s="499">
        <f>K63*I63*G63*E63*C63</f>
        <v>12437.34375</v>
      </c>
      <c r="O63" s="461"/>
      <c r="P63" s="477"/>
    </row>
    <row r="64" spans="1:16" ht="15">
      <c r="A64" s="458"/>
      <c r="B64" s="480"/>
      <c r="D64" s="372"/>
      <c r="E64" s="372"/>
      <c r="F64" s="372"/>
      <c r="G64" s="480"/>
      <c r="I64" s="468"/>
      <c r="J64" s="468"/>
      <c r="K64" s="468"/>
      <c r="M64" s="480"/>
      <c r="O64" s="461"/>
      <c r="P64" s="477"/>
    </row>
    <row r="65" spans="1:16" ht="15">
      <c r="A65" s="458"/>
      <c r="B65" s="480"/>
      <c r="I65" s="503" t="s">
        <v>43</v>
      </c>
      <c r="J65" s="483"/>
      <c r="K65" s="483"/>
      <c r="L65" s="470" t="s">
        <v>3</v>
      </c>
      <c r="M65" s="490">
        <f>M61-M63</f>
        <v>3357.6562500000018</v>
      </c>
      <c r="N65" s="485" t="s">
        <v>6</v>
      </c>
      <c r="P65" s="462"/>
    </row>
    <row r="66" spans="1:16" ht="15">
      <c r="A66" s="458"/>
      <c r="B66" s="480"/>
      <c r="I66" s="483"/>
      <c r="J66" s="483"/>
      <c r="K66" s="483"/>
      <c r="L66" s="470"/>
      <c r="M66" s="501"/>
      <c r="N66" s="485"/>
      <c r="P66" s="462"/>
    </row>
    <row r="67" spans="1:16" ht="15">
      <c r="A67" s="458"/>
      <c r="B67" s="473">
        <f>M65</f>
        <v>3357.6562500000018</v>
      </c>
      <c r="C67" s="998" t="s">
        <v>6</v>
      </c>
      <c r="D67" s="998"/>
      <c r="E67" s="461"/>
      <c r="F67" s="461"/>
      <c r="G67" s="475" t="str">
        <f>G55</f>
        <v>@Rs.</v>
      </c>
      <c r="H67" s="997">
        <v>14429.25</v>
      </c>
      <c r="I67" s="997"/>
      <c r="J67" s="502"/>
      <c r="K67" s="502"/>
      <c r="L67" s="461"/>
      <c r="M67" s="475"/>
      <c r="N67" s="461" t="s">
        <v>27</v>
      </c>
      <c r="O67" s="461" t="s">
        <v>402</v>
      </c>
      <c r="P67" s="477">
        <f>B67*H67/100</f>
        <v>484484.61445312528</v>
      </c>
    </row>
    <row r="68" spans="1:16" ht="15">
      <c r="A68" s="498"/>
    </row>
    <row r="69" spans="1:16" ht="15.75">
      <c r="A69" s="504">
        <v>8</v>
      </c>
      <c r="B69" s="7" t="s">
        <v>364</v>
      </c>
      <c r="C69" s="7"/>
      <c r="D69" s="7"/>
      <c r="E69" s="70"/>
      <c r="F69" s="7"/>
      <c r="G69" s="7"/>
      <c r="H69" s="7"/>
      <c r="I69" s="70"/>
      <c r="J69" s="70"/>
      <c r="K69" s="70"/>
      <c r="L69" s="7"/>
      <c r="M69" s="70"/>
      <c r="N69" s="63"/>
      <c r="O69" s="7"/>
      <c r="P69" s="72"/>
    </row>
    <row r="70" spans="1:16" ht="15.75">
      <c r="A70" s="204"/>
      <c r="B70" s="7" t="s">
        <v>419</v>
      </c>
      <c r="C70" s="7"/>
      <c r="D70" s="7"/>
      <c r="E70" s="70"/>
      <c r="F70" s="7"/>
      <c r="H70" s="7"/>
      <c r="I70" s="73" t="s">
        <v>420</v>
      </c>
      <c r="J70" s="70"/>
      <c r="K70" s="70"/>
      <c r="L70" s="7"/>
      <c r="M70" s="70"/>
      <c r="N70" s="63"/>
      <c r="P70" s="72"/>
    </row>
    <row r="71" spans="1:16" ht="15.75">
      <c r="A71" s="204"/>
      <c r="C71" s="7"/>
      <c r="D71" s="7"/>
      <c r="E71" s="70"/>
      <c r="F71" s="7"/>
      <c r="G71" s="7"/>
      <c r="H71" s="7"/>
      <c r="I71" s="70"/>
      <c r="J71" s="70"/>
      <c r="K71" s="70"/>
      <c r="L71" s="7"/>
      <c r="M71" s="70"/>
      <c r="N71" s="63"/>
      <c r="O71" s="7"/>
      <c r="P71" s="72"/>
    </row>
    <row r="72" spans="1:16" ht="15.75">
      <c r="A72" s="204"/>
      <c r="B72" s="7" t="s">
        <v>421</v>
      </c>
      <c r="C72" s="372">
        <v>0.5</v>
      </c>
      <c r="D72" s="372" t="s">
        <v>2</v>
      </c>
      <c r="E72" s="373">
        <f>E29</f>
        <v>3000</v>
      </c>
      <c r="F72" s="372" t="s">
        <v>2</v>
      </c>
      <c r="G72" s="464">
        <v>3.14</v>
      </c>
      <c r="H72" s="372" t="s">
        <v>2</v>
      </c>
      <c r="I72" s="465">
        <v>3.25</v>
      </c>
      <c r="J72" s="465"/>
      <c r="K72" s="465"/>
      <c r="L72" s="372" t="s">
        <v>3</v>
      </c>
      <c r="M72" s="464">
        <f>I72*G72*E72*C72</f>
        <v>15307.5</v>
      </c>
      <c r="N72" s="123" t="s">
        <v>6</v>
      </c>
      <c r="O72" s="7"/>
      <c r="P72" s="72"/>
    </row>
    <row r="73" spans="1:16" ht="15.75">
      <c r="A73" s="204"/>
      <c r="B73" s="7"/>
      <c r="C73" s="449"/>
      <c r="D73" s="449"/>
      <c r="E73" s="449"/>
      <c r="F73" s="449"/>
      <c r="G73" s="449"/>
      <c r="H73" s="449"/>
      <c r="I73" s="441"/>
      <c r="J73" s="441"/>
      <c r="K73" s="441"/>
      <c r="L73" s="449"/>
      <c r="M73" s="272"/>
      <c r="N73" s="63"/>
      <c r="O73" s="7"/>
      <c r="P73" s="63"/>
    </row>
    <row r="74" spans="1:16" ht="15.75">
      <c r="A74" s="204"/>
      <c r="B74" s="442">
        <f>M72</f>
        <v>15307.5</v>
      </c>
      <c r="C74" s="73" t="s">
        <v>6</v>
      </c>
      <c r="D74" s="73"/>
      <c r="E74" s="73"/>
      <c r="F74" s="73"/>
      <c r="G74" s="415" t="s">
        <v>11</v>
      </c>
      <c r="H74" s="926">
        <v>3127.41</v>
      </c>
      <c r="I74" s="926"/>
      <c r="J74" s="442"/>
      <c r="K74" s="442"/>
      <c r="L74" s="73"/>
      <c r="M74" s="73"/>
      <c r="N74" s="73" t="s">
        <v>27</v>
      </c>
      <c r="O74" s="461" t="s">
        <v>402</v>
      </c>
      <c r="P74" s="82">
        <f>H74*B74/100</f>
        <v>478728.28574999998</v>
      </c>
    </row>
    <row r="75" spans="1:16" ht="15">
      <c r="A75" s="498"/>
    </row>
    <row r="76" spans="1:16" ht="15">
      <c r="A76" s="486">
        <v>9</v>
      </c>
      <c r="B76" s="123" t="s">
        <v>422</v>
      </c>
    </row>
    <row r="77" spans="1:16" ht="15">
      <c r="A77" s="488"/>
      <c r="B77" s="123" t="s">
        <v>381</v>
      </c>
    </row>
    <row r="78" spans="1:16" ht="15">
      <c r="A78" s="488"/>
      <c r="B78" s="123" t="s">
        <v>382</v>
      </c>
    </row>
    <row r="79" spans="1:16" ht="15">
      <c r="A79" s="488"/>
      <c r="B79" s="123" t="s">
        <v>383</v>
      </c>
    </row>
    <row r="80" spans="1:16" ht="15">
      <c r="A80" s="488"/>
      <c r="B80" s="123" t="s">
        <v>423</v>
      </c>
    </row>
    <row r="81" spans="1:16" ht="15">
      <c r="A81" s="488"/>
      <c r="B81" s="123" t="s">
        <v>424</v>
      </c>
    </row>
    <row r="82" spans="1:16" ht="15">
      <c r="A82" s="488"/>
      <c r="B82" s="123" t="s">
        <v>425</v>
      </c>
    </row>
    <row r="83" spans="1:16" ht="15">
      <c r="A83" s="488"/>
      <c r="B83" s="123" t="s">
        <v>426</v>
      </c>
    </row>
    <row r="84" spans="1:16" ht="15">
      <c r="A84" s="353"/>
    </row>
    <row r="85" spans="1:16" ht="15">
      <c r="A85" s="461"/>
      <c r="B85" s="123" t="s">
        <v>220</v>
      </c>
      <c r="C85" s="372">
        <v>1</v>
      </c>
      <c r="D85" s="372" t="s">
        <v>2</v>
      </c>
      <c r="E85" s="373">
        <f>E29</f>
        <v>3000</v>
      </c>
      <c r="F85" s="372" t="s">
        <v>2</v>
      </c>
      <c r="G85" s="464">
        <v>4.5</v>
      </c>
      <c r="H85" s="372" t="s">
        <v>2</v>
      </c>
      <c r="I85" s="464">
        <v>0.5</v>
      </c>
      <c r="J85" s="464"/>
      <c r="K85" s="464"/>
      <c r="L85" s="123" t="s">
        <v>3</v>
      </c>
      <c r="M85" s="549">
        <f>I85*G85*E85*C85</f>
        <v>6750</v>
      </c>
      <c r="N85" s="123" t="s">
        <v>6</v>
      </c>
    </row>
    <row r="86" spans="1:16" ht="15">
      <c r="A86" s="461"/>
      <c r="C86" s="372">
        <v>1</v>
      </c>
      <c r="D86" s="372" t="s">
        <v>2</v>
      </c>
      <c r="E86" s="373">
        <f>E31</f>
        <v>1000</v>
      </c>
      <c r="F86" s="372" t="s">
        <v>2</v>
      </c>
      <c r="G86" s="464">
        <v>4.75</v>
      </c>
      <c r="H86" s="372" t="s">
        <v>2</v>
      </c>
      <c r="I86" s="464">
        <v>0.5</v>
      </c>
      <c r="J86" s="464"/>
      <c r="K86" s="464"/>
      <c r="L86" s="123" t="s">
        <v>3</v>
      </c>
      <c r="M86" s="549">
        <f>I86*G86*E86*C86</f>
        <v>2375</v>
      </c>
      <c r="N86" s="123" t="s">
        <v>6</v>
      </c>
    </row>
    <row r="87" spans="1:16" ht="15">
      <c r="A87" s="461"/>
      <c r="C87" s="372"/>
      <c r="D87" s="372"/>
      <c r="E87" s="373"/>
      <c r="F87" s="372"/>
      <c r="G87" s="464"/>
      <c r="H87" s="372"/>
      <c r="I87" s="464"/>
      <c r="J87" s="464"/>
      <c r="K87" s="464"/>
      <c r="M87" s="549"/>
    </row>
    <row r="88" spans="1:16" ht="15">
      <c r="A88" s="461"/>
      <c r="B88" s="123" t="s">
        <v>427</v>
      </c>
      <c r="C88" s="372">
        <v>2</v>
      </c>
      <c r="D88" s="372" t="s">
        <v>2</v>
      </c>
      <c r="E88" s="373">
        <f>E85</f>
        <v>3000</v>
      </c>
      <c r="F88" s="372" t="s">
        <v>2</v>
      </c>
      <c r="G88" s="464">
        <v>0.5</v>
      </c>
      <c r="H88" s="372" t="s">
        <v>2</v>
      </c>
      <c r="I88" s="464">
        <v>7</v>
      </c>
      <c r="J88" s="464"/>
      <c r="K88" s="464"/>
      <c r="L88" s="123" t="s">
        <v>3</v>
      </c>
      <c r="M88" s="549">
        <f>I88*G88*E88*C88</f>
        <v>21000</v>
      </c>
      <c r="N88" s="123" t="s">
        <v>6</v>
      </c>
    </row>
    <row r="89" spans="1:16" ht="15">
      <c r="A89" s="461"/>
      <c r="C89" s="372">
        <v>2</v>
      </c>
      <c r="D89" s="372" t="s">
        <v>2</v>
      </c>
      <c r="E89" s="373">
        <f>E86</f>
        <v>1000</v>
      </c>
      <c r="F89" s="372" t="s">
        <v>2</v>
      </c>
      <c r="G89" s="464">
        <v>0.75</v>
      </c>
      <c r="H89" s="372" t="s">
        <v>2</v>
      </c>
      <c r="I89" s="464">
        <v>6</v>
      </c>
      <c r="J89" s="464"/>
      <c r="K89" s="464"/>
      <c r="L89" s="123" t="s">
        <v>3</v>
      </c>
      <c r="M89" s="549">
        <f>I89*G89*E89*C89</f>
        <v>9000</v>
      </c>
      <c r="N89" s="123" t="s">
        <v>6</v>
      </c>
    </row>
    <row r="90" spans="1:16" ht="15">
      <c r="A90" s="461"/>
      <c r="C90" s="372"/>
      <c r="D90" s="372"/>
      <c r="E90" s="373"/>
      <c r="F90" s="372"/>
      <c r="G90" s="464"/>
      <c r="H90" s="372"/>
      <c r="I90" s="464"/>
      <c r="J90" s="464"/>
      <c r="K90" s="464"/>
      <c r="M90" s="549"/>
    </row>
    <row r="91" spans="1:16" ht="15">
      <c r="A91" s="461"/>
      <c r="B91" s="123" t="s">
        <v>428</v>
      </c>
      <c r="C91" s="372">
        <v>1</v>
      </c>
      <c r="D91" s="372" t="s">
        <v>2</v>
      </c>
      <c r="E91" s="373">
        <f>E85</f>
        <v>3000</v>
      </c>
      <c r="F91" s="372" t="s">
        <v>2</v>
      </c>
      <c r="G91" s="464">
        <v>4.25</v>
      </c>
      <c r="H91" s="372" t="s">
        <v>2</v>
      </c>
      <c r="I91" s="464">
        <v>0.5</v>
      </c>
      <c r="J91" s="464"/>
      <c r="K91" s="464"/>
      <c r="L91" s="123" t="s">
        <v>3</v>
      </c>
      <c r="M91" s="549">
        <f>I91*G91*E91*C91</f>
        <v>6375</v>
      </c>
      <c r="N91" s="123" t="s">
        <v>6</v>
      </c>
    </row>
    <row r="92" spans="1:16" ht="15">
      <c r="A92" s="461"/>
      <c r="C92" s="372">
        <v>1</v>
      </c>
      <c r="D92" s="372" t="s">
        <v>2</v>
      </c>
      <c r="E92" s="373">
        <f>E86</f>
        <v>1000</v>
      </c>
      <c r="F92" s="372" t="s">
        <v>2</v>
      </c>
      <c r="G92" s="464">
        <v>4.75</v>
      </c>
      <c r="H92" s="372" t="s">
        <v>2</v>
      </c>
      <c r="I92" s="464">
        <v>0.75</v>
      </c>
      <c r="J92" s="464"/>
      <c r="K92" s="464"/>
      <c r="L92" s="123" t="s">
        <v>3</v>
      </c>
      <c r="M92" s="549">
        <f>I92*G92*E92*C92</f>
        <v>3562.5</v>
      </c>
      <c r="N92" s="123" t="s">
        <v>6</v>
      </c>
    </row>
    <row r="93" spans="1:16" ht="15">
      <c r="A93" s="461"/>
      <c r="C93" s="372"/>
      <c r="D93" s="372"/>
      <c r="E93" s="372"/>
      <c r="G93" s="464"/>
      <c r="I93" s="464"/>
      <c r="J93" s="464"/>
      <c r="K93" s="464"/>
      <c r="M93" s="549"/>
    </row>
    <row r="94" spans="1:16">
      <c r="I94" s="466" t="s">
        <v>373</v>
      </c>
      <c r="J94" s="466"/>
      <c r="K94" s="466"/>
      <c r="L94" s="468" t="s">
        <v>3</v>
      </c>
      <c r="M94" s="550">
        <f>SUM(M85:M93)</f>
        <v>49062.5</v>
      </c>
      <c r="N94" s="460" t="s">
        <v>6</v>
      </c>
    </row>
    <row r="95" spans="1:16">
      <c r="I95" s="372"/>
      <c r="J95" s="372"/>
      <c r="K95" s="372"/>
      <c r="M95" s="375"/>
      <c r="N95" s="460"/>
    </row>
    <row r="96" spans="1:16" ht="15">
      <c r="B96" s="473">
        <f>M94</f>
        <v>49062.5</v>
      </c>
      <c r="C96" s="996" t="s">
        <v>6</v>
      </c>
      <c r="D96" s="996"/>
      <c r="E96" s="461"/>
      <c r="F96" s="461"/>
      <c r="G96" s="475" t="s">
        <v>11</v>
      </c>
      <c r="H96" s="993">
        <v>337</v>
      </c>
      <c r="I96" s="993"/>
      <c r="J96" s="473"/>
      <c r="K96" s="473"/>
      <c r="L96" s="461"/>
      <c r="M96" s="505"/>
      <c r="N96" s="461" t="s">
        <v>389</v>
      </c>
      <c r="O96" s="461" t="s">
        <v>402</v>
      </c>
      <c r="P96" s="477">
        <f>B96*H96</f>
        <v>16534062.5</v>
      </c>
    </row>
    <row r="97" spans="1:16">
      <c r="B97" s="480"/>
      <c r="G97" s="479"/>
      <c r="H97" s="375"/>
      <c r="I97" s="375"/>
      <c r="J97" s="375"/>
      <c r="K97" s="375"/>
      <c r="M97" s="506"/>
      <c r="P97" s="462"/>
    </row>
    <row r="98" spans="1:16" ht="15">
      <c r="A98" s="507">
        <v>10</v>
      </c>
      <c r="B98" s="123" t="s">
        <v>390</v>
      </c>
    </row>
    <row r="99" spans="1:16" ht="15">
      <c r="A99" s="507"/>
      <c r="B99" s="123" t="s">
        <v>391</v>
      </c>
    </row>
    <row r="100" spans="1:16" ht="15">
      <c r="A100" s="507"/>
      <c r="B100" s="123" t="s">
        <v>392</v>
      </c>
    </row>
    <row r="101" spans="1:16" ht="15">
      <c r="A101" s="507"/>
      <c r="B101" s="123" t="s">
        <v>429</v>
      </c>
    </row>
    <row r="102" spans="1:16" ht="15">
      <c r="A102" s="498"/>
    </row>
    <row r="103" spans="1:16" ht="15">
      <c r="A103" s="461"/>
      <c r="B103" s="508">
        <f>M94</f>
        <v>49062.5</v>
      </c>
      <c r="C103" s="509" t="s">
        <v>2</v>
      </c>
      <c r="D103" s="508">
        <v>4.5</v>
      </c>
      <c r="E103" s="123" t="s">
        <v>3</v>
      </c>
      <c r="F103" s="994">
        <f>D103*B103/112</f>
        <v>1971.2611607142858</v>
      </c>
      <c r="G103" s="994"/>
      <c r="H103" s="123" t="s">
        <v>9</v>
      </c>
    </row>
    <row r="104" spans="1:16" ht="15">
      <c r="A104" s="461"/>
      <c r="B104" s="999">
        <v>112</v>
      </c>
      <c r="C104" s="999"/>
      <c r="D104" s="999"/>
      <c r="E104" s="478"/>
    </row>
    <row r="105" spans="1:16" ht="15">
      <c r="B105" s="473">
        <f>F103</f>
        <v>1971.2611607142858</v>
      </c>
      <c r="C105" s="996" t="s">
        <v>9</v>
      </c>
      <c r="D105" s="996"/>
      <c r="E105" s="461"/>
      <c r="F105" s="461"/>
      <c r="G105" s="505" t="s">
        <v>11</v>
      </c>
      <c r="H105" s="993">
        <v>5001.7</v>
      </c>
      <c r="I105" s="993"/>
      <c r="J105" s="473"/>
      <c r="K105" s="473"/>
      <c r="L105" s="461"/>
      <c r="M105" s="505"/>
      <c r="N105" s="461" t="s">
        <v>430</v>
      </c>
      <c r="O105" s="461" t="s">
        <v>402</v>
      </c>
      <c r="P105" s="477">
        <f>B105*H105</f>
        <v>9859656.9475446437</v>
      </c>
    </row>
    <row r="106" spans="1:16">
      <c r="B106" s="480"/>
      <c r="G106" s="479"/>
      <c r="H106" s="375"/>
      <c r="I106" s="375"/>
      <c r="J106" s="375"/>
      <c r="K106" s="375"/>
      <c r="M106" s="506"/>
      <c r="P106" s="462"/>
    </row>
    <row r="107" spans="1:16" ht="15">
      <c r="A107" s="507">
        <v>11</v>
      </c>
      <c r="B107" s="1000" t="s">
        <v>431</v>
      </c>
      <c r="C107" s="1000"/>
      <c r="D107" s="1000"/>
      <c r="E107" s="1000"/>
      <c r="F107" s="1000"/>
      <c r="G107" s="1000"/>
      <c r="H107" s="1000"/>
      <c r="I107" s="1000"/>
      <c r="J107" s="1000"/>
      <c r="K107" s="1000"/>
      <c r="L107" s="1000"/>
      <c r="M107" s="1000"/>
    </row>
    <row r="108" spans="1:16" ht="15">
      <c r="A108" s="507"/>
      <c r="B108" s="510" t="s">
        <v>432</v>
      </c>
      <c r="C108" s="489"/>
      <c r="D108" s="489"/>
      <c r="E108" s="489"/>
      <c r="F108" s="489"/>
      <c r="G108" s="489"/>
      <c r="H108" s="489"/>
      <c r="I108" s="489"/>
      <c r="J108" s="489"/>
      <c r="K108" s="489"/>
      <c r="L108" s="489"/>
      <c r="M108" s="489"/>
    </row>
    <row r="109" spans="1:16">
      <c r="A109" s="511"/>
      <c r="B109" s="489"/>
      <c r="C109" s="489"/>
      <c r="D109" s="489"/>
      <c r="E109" s="489"/>
      <c r="F109" s="489"/>
      <c r="G109" s="489"/>
      <c r="H109" s="489"/>
      <c r="I109" s="489"/>
      <c r="J109" s="489"/>
      <c r="K109" s="489"/>
      <c r="L109" s="489"/>
      <c r="M109" s="489"/>
    </row>
    <row r="110" spans="1:16">
      <c r="A110" s="511"/>
      <c r="B110" s="480" t="s">
        <v>433</v>
      </c>
      <c r="C110" s="469">
        <v>1</v>
      </c>
      <c r="D110" s="469" t="s">
        <v>2</v>
      </c>
      <c r="E110" s="551">
        <v>3000</v>
      </c>
      <c r="F110" s="469" t="s">
        <v>2</v>
      </c>
      <c r="G110" s="469">
        <v>4.71</v>
      </c>
      <c r="H110" s="469" t="s">
        <v>2</v>
      </c>
      <c r="I110" s="513">
        <v>0.375</v>
      </c>
      <c r="J110" s="513"/>
      <c r="K110" s="513"/>
      <c r="L110" s="469" t="s">
        <v>3</v>
      </c>
      <c r="M110" s="480">
        <f>C110*E110*G110*I110</f>
        <v>5298.75</v>
      </c>
      <c r="N110" s="123" t="s">
        <v>6</v>
      </c>
    </row>
    <row r="111" spans="1:16">
      <c r="A111" s="511"/>
      <c r="B111" s="480"/>
      <c r="C111" s="469"/>
      <c r="D111" s="469"/>
      <c r="E111" s="551"/>
      <c r="F111" s="469"/>
      <c r="G111" s="469"/>
      <c r="H111" s="469"/>
      <c r="I111" s="499"/>
      <c r="J111" s="499"/>
      <c r="K111" s="499"/>
      <c r="L111" s="469"/>
      <c r="M111" s="480"/>
    </row>
    <row r="112" spans="1:16">
      <c r="A112" s="511"/>
      <c r="B112" s="480" t="s">
        <v>434</v>
      </c>
      <c r="C112" s="469">
        <v>2</v>
      </c>
      <c r="D112" s="469" t="s">
        <v>2</v>
      </c>
      <c r="E112" s="551">
        <f>E85</f>
        <v>3000</v>
      </c>
      <c r="F112" s="469" t="s">
        <v>2</v>
      </c>
      <c r="G112" s="513">
        <v>0.375</v>
      </c>
      <c r="H112" s="469" t="s">
        <v>2</v>
      </c>
      <c r="I112" s="500">
        <v>5.5</v>
      </c>
      <c r="J112" s="500"/>
      <c r="K112" s="500"/>
      <c r="L112" s="469" t="s">
        <v>3</v>
      </c>
      <c r="M112" s="480">
        <f>C112*E112*G112*I112</f>
        <v>12375</v>
      </c>
      <c r="N112" s="123" t="s">
        <v>6</v>
      </c>
    </row>
    <row r="113" spans="1:16">
      <c r="A113" s="511"/>
      <c r="B113" s="480"/>
      <c r="D113" s="372"/>
      <c r="E113" s="372"/>
      <c r="F113" s="372"/>
      <c r="G113" s="480"/>
      <c r="I113" s="468"/>
      <c r="J113" s="468"/>
      <c r="K113" s="468"/>
      <c r="M113" s="480"/>
    </row>
    <row r="114" spans="1:16">
      <c r="A114" s="511"/>
      <c r="B114" s="480"/>
      <c r="I114" s="483" t="s">
        <v>373</v>
      </c>
      <c r="J114" s="483"/>
      <c r="K114" s="483"/>
      <c r="L114" s="470" t="s">
        <v>3</v>
      </c>
      <c r="M114" s="484">
        <f>SUM(M110:M113)</f>
        <v>17673.75</v>
      </c>
      <c r="N114" s="485" t="s">
        <v>6</v>
      </c>
    </row>
    <row r="115" spans="1:16">
      <c r="A115" s="511"/>
      <c r="B115" s="489"/>
      <c r="C115" s="489"/>
      <c r="D115" s="489"/>
      <c r="E115" s="489"/>
      <c r="F115" s="489"/>
      <c r="G115" s="489"/>
      <c r="H115" s="514"/>
      <c r="I115" s="479"/>
      <c r="J115" s="479"/>
      <c r="K115" s="479"/>
    </row>
    <row r="116" spans="1:16" ht="15">
      <c r="A116" s="372"/>
      <c r="B116" s="473">
        <f>M114</f>
        <v>17673.75</v>
      </c>
      <c r="C116" s="996" t="s">
        <v>6</v>
      </c>
      <c r="D116" s="996"/>
      <c r="E116" s="461"/>
      <c r="F116" s="461"/>
      <c r="G116" s="505" t="s">
        <v>11</v>
      </c>
      <c r="H116" s="993">
        <v>12346.65</v>
      </c>
      <c r="I116" s="993"/>
      <c r="J116" s="473"/>
      <c r="K116" s="473"/>
      <c r="L116" s="461"/>
      <c r="M116" s="505"/>
      <c r="N116" s="461" t="s">
        <v>435</v>
      </c>
      <c r="O116" s="461" t="s">
        <v>402</v>
      </c>
      <c r="P116" s="477">
        <f>B116*H116/100</f>
        <v>2182116.0543749998</v>
      </c>
    </row>
    <row r="117" spans="1:16" ht="15">
      <c r="A117" s="372"/>
      <c r="B117" s="473"/>
      <c r="C117" s="459"/>
      <c r="D117" s="459"/>
      <c r="E117" s="461"/>
      <c r="F117" s="461"/>
      <c r="G117" s="505"/>
      <c r="H117" s="473"/>
      <c r="I117" s="473"/>
      <c r="J117" s="473"/>
      <c r="K117" s="473"/>
      <c r="L117" s="461"/>
      <c r="M117" s="505"/>
      <c r="N117" s="461"/>
      <c r="O117" s="461"/>
      <c r="P117" s="477"/>
    </row>
    <row r="118" spans="1:16" ht="15">
      <c r="A118" s="507">
        <v>12</v>
      </c>
      <c r="B118" s="1000" t="s">
        <v>436</v>
      </c>
      <c r="C118" s="1000"/>
      <c r="D118" s="1000"/>
      <c r="E118" s="1000"/>
      <c r="F118" s="1000"/>
      <c r="G118" s="1000"/>
      <c r="H118" s="1000"/>
      <c r="I118" s="1000"/>
      <c r="J118" s="1000"/>
      <c r="K118" s="1000"/>
      <c r="L118" s="1000"/>
      <c r="M118" s="1000"/>
    </row>
    <row r="119" spans="1:16" ht="15">
      <c r="A119" s="507"/>
      <c r="B119" s="515" t="s">
        <v>437</v>
      </c>
      <c r="C119" s="489"/>
      <c r="D119" s="489"/>
      <c r="E119" s="510" t="s">
        <v>438</v>
      </c>
      <c r="F119" s="489"/>
      <c r="G119" s="489"/>
      <c r="H119" s="489"/>
      <c r="I119" s="489"/>
      <c r="J119" s="489"/>
      <c r="K119" s="489"/>
      <c r="L119" s="489"/>
      <c r="M119" s="489"/>
    </row>
    <row r="120" spans="1:16" ht="15">
      <c r="A120" s="507"/>
      <c r="B120" s="515"/>
      <c r="C120" s="489"/>
      <c r="D120" s="489"/>
      <c r="E120" s="489"/>
      <c r="F120" s="489"/>
      <c r="G120" s="489"/>
      <c r="H120" s="489"/>
      <c r="I120" s="489"/>
      <c r="J120" s="489"/>
      <c r="K120" s="489"/>
      <c r="L120" s="489"/>
      <c r="M120" s="489"/>
    </row>
    <row r="121" spans="1:16">
      <c r="A121" s="511"/>
      <c r="B121" s="480"/>
      <c r="C121" s="469">
        <v>1</v>
      </c>
      <c r="D121" s="469" t="s">
        <v>2</v>
      </c>
      <c r="E121" s="551">
        <f>E110</f>
        <v>3000</v>
      </c>
      <c r="F121" s="469" t="s">
        <v>2</v>
      </c>
      <c r="G121" s="469">
        <v>2.87</v>
      </c>
      <c r="H121" s="469" t="s">
        <v>2</v>
      </c>
      <c r="I121" s="513">
        <v>0.375</v>
      </c>
      <c r="J121" s="513"/>
      <c r="K121" s="513"/>
      <c r="L121" s="469" t="s">
        <v>3</v>
      </c>
      <c r="M121" s="480">
        <f>C121*E121*G121*I121</f>
        <v>3228.75</v>
      </c>
      <c r="N121" s="123" t="s">
        <v>187</v>
      </c>
    </row>
    <row r="122" spans="1:16">
      <c r="A122" s="511"/>
      <c r="B122" s="480"/>
      <c r="C122" s="469"/>
      <c r="D122" s="469"/>
      <c r="E122" s="469"/>
      <c r="F122" s="469"/>
      <c r="G122" s="469"/>
      <c r="H122" s="469"/>
      <c r="I122" s="499"/>
      <c r="J122" s="499"/>
      <c r="K122" s="499"/>
      <c r="L122" s="469"/>
      <c r="M122" s="480"/>
    </row>
    <row r="123" spans="1:16" ht="15">
      <c r="A123" s="372"/>
      <c r="B123" s="473">
        <f>M121</f>
        <v>3228.75</v>
      </c>
      <c r="C123" s="996" t="s">
        <v>8</v>
      </c>
      <c r="D123" s="996"/>
      <c r="E123" s="461"/>
      <c r="F123" s="461"/>
      <c r="G123" s="505" t="s">
        <v>11</v>
      </c>
      <c r="H123" s="993">
        <v>968</v>
      </c>
      <c r="I123" s="993"/>
      <c r="J123" s="473"/>
      <c r="K123" s="473"/>
      <c r="L123" s="461"/>
      <c r="M123" s="505"/>
      <c r="N123" s="461" t="s">
        <v>198</v>
      </c>
      <c r="O123" s="461" t="s">
        <v>402</v>
      </c>
      <c r="P123" s="477">
        <f>B123*H123/100</f>
        <v>31254.3</v>
      </c>
    </row>
    <row r="124" spans="1:16" ht="15">
      <c r="A124" s="372"/>
      <c r="B124" s="473"/>
      <c r="C124" s="459"/>
      <c r="D124" s="459"/>
      <c r="E124" s="461"/>
      <c r="F124" s="461"/>
      <c r="G124" s="505"/>
      <c r="H124" s="473"/>
      <c r="I124" s="473"/>
      <c r="J124" s="473"/>
      <c r="K124" s="473"/>
      <c r="L124" s="461"/>
      <c r="M124" s="505"/>
      <c r="N124" s="461"/>
      <c r="O124" s="461"/>
      <c r="P124" s="477"/>
    </row>
    <row r="125" spans="1:16" ht="15">
      <c r="A125" s="507">
        <v>13</v>
      </c>
      <c r="B125" s="487" t="s">
        <v>439</v>
      </c>
      <c r="C125" s="487"/>
      <c r="D125" s="487"/>
      <c r="E125" s="487"/>
      <c r="F125" s="487"/>
      <c r="G125" s="487"/>
      <c r="H125" s="487"/>
      <c r="I125" s="487"/>
      <c r="J125" s="487"/>
      <c r="K125" s="487"/>
      <c r="L125" s="487"/>
      <c r="M125" s="487"/>
      <c r="N125" s="516"/>
    </row>
    <row r="126" spans="1:16" ht="15">
      <c r="A126" s="507"/>
      <c r="B126" s="510" t="s">
        <v>440</v>
      </c>
      <c r="C126" s="487"/>
      <c r="D126" s="487"/>
      <c r="E126" s="487"/>
      <c r="F126" s="487"/>
      <c r="G126" s="487"/>
      <c r="H126" s="487"/>
      <c r="I126" s="487"/>
      <c r="J126" s="487"/>
      <c r="K126" s="487"/>
      <c r="L126" s="487"/>
      <c r="M126" s="487"/>
      <c r="N126" s="516"/>
    </row>
    <row r="127" spans="1:16" ht="15">
      <c r="A127" s="507"/>
      <c r="B127" s="489"/>
      <c r="C127" s="489"/>
      <c r="D127" s="489"/>
      <c r="E127" s="489"/>
      <c r="F127" s="489"/>
      <c r="G127" s="489"/>
      <c r="H127" s="489"/>
      <c r="I127" s="489"/>
      <c r="J127" s="489"/>
      <c r="K127" s="489"/>
      <c r="L127" s="489"/>
      <c r="M127" s="489"/>
    </row>
    <row r="128" spans="1:16">
      <c r="A128" s="511"/>
      <c r="B128" s="480" t="s">
        <v>433</v>
      </c>
      <c r="C128" s="469">
        <v>1</v>
      </c>
      <c r="D128" s="469" t="s">
        <v>2</v>
      </c>
      <c r="E128" s="551">
        <f>E121</f>
        <v>3000</v>
      </c>
      <c r="F128" s="469" t="s">
        <v>2</v>
      </c>
      <c r="G128" s="469">
        <v>2.87</v>
      </c>
      <c r="H128" s="469"/>
      <c r="I128" s="513"/>
      <c r="J128" s="513"/>
      <c r="K128" s="513"/>
      <c r="L128" s="469" t="s">
        <v>3</v>
      </c>
      <c r="M128" s="480">
        <f>C128*E128*G128</f>
        <v>8610</v>
      </c>
    </row>
    <row r="129" spans="1:16">
      <c r="A129" s="511"/>
      <c r="B129" s="480" t="s">
        <v>434</v>
      </c>
      <c r="C129" s="469">
        <v>2</v>
      </c>
      <c r="D129" s="469" t="s">
        <v>2</v>
      </c>
      <c r="E129" s="551">
        <f>E112</f>
        <v>3000</v>
      </c>
      <c r="F129" s="469" t="s">
        <v>2</v>
      </c>
      <c r="G129" s="499">
        <v>5.5</v>
      </c>
      <c r="H129" s="469"/>
      <c r="I129" s="513"/>
      <c r="J129" s="513"/>
      <c r="K129" s="513"/>
      <c r="L129" s="469" t="s">
        <v>3</v>
      </c>
      <c r="M129" s="480">
        <f>C129*E129*G129</f>
        <v>33000</v>
      </c>
    </row>
    <row r="130" spans="1:16">
      <c r="A130" s="511"/>
      <c r="B130" s="480"/>
      <c r="C130" s="469"/>
      <c r="D130" s="469"/>
      <c r="E130" s="512"/>
      <c r="F130" s="469"/>
      <c r="G130" s="469"/>
      <c r="H130" s="469"/>
      <c r="I130" s="513"/>
      <c r="J130" s="513"/>
      <c r="K130" s="513"/>
      <c r="L130" s="469"/>
      <c r="M130" s="480"/>
    </row>
    <row r="131" spans="1:16" ht="15">
      <c r="A131" s="511"/>
      <c r="B131" s="480"/>
      <c r="C131" s="469"/>
      <c r="D131" s="469"/>
      <c r="E131" s="469"/>
      <c r="F131" s="469"/>
      <c r="G131" s="469"/>
      <c r="H131" s="1001" t="s">
        <v>373</v>
      </c>
      <c r="I131" s="1001"/>
      <c r="J131" s="469"/>
      <c r="K131" s="469"/>
      <c r="L131" s="469" t="s">
        <v>21</v>
      </c>
      <c r="M131" s="517">
        <f>SUM(M128:M130)</f>
        <v>41610</v>
      </c>
      <c r="N131" s="123" t="s">
        <v>8</v>
      </c>
    </row>
    <row r="132" spans="1:16">
      <c r="A132" s="511"/>
      <c r="B132" s="480"/>
      <c r="C132" s="469"/>
      <c r="D132" s="469"/>
      <c r="E132" s="469"/>
      <c r="F132" s="469"/>
      <c r="G132" s="469"/>
      <c r="H132" s="469"/>
      <c r="I132" s="499"/>
      <c r="J132" s="499"/>
      <c r="K132" s="499"/>
      <c r="L132" s="469"/>
      <c r="M132" s="480"/>
    </row>
    <row r="133" spans="1:16" ht="15">
      <c r="A133" s="372"/>
      <c r="B133" s="473">
        <f>M131</f>
        <v>41610</v>
      </c>
      <c r="C133" s="996" t="s">
        <v>8</v>
      </c>
      <c r="D133" s="996"/>
      <c r="E133" s="461"/>
      <c r="F133" s="461"/>
      <c r="G133" s="505" t="s">
        <v>11</v>
      </c>
      <c r="H133" s="993">
        <v>1213.58</v>
      </c>
      <c r="I133" s="993"/>
      <c r="J133" s="473"/>
      <c r="K133" s="473"/>
      <c r="L133" s="461"/>
      <c r="M133" s="505"/>
      <c r="N133" s="461" t="s">
        <v>441</v>
      </c>
      <c r="O133" s="461" t="s">
        <v>402</v>
      </c>
      <c r="P133" s="477">
        <f>B133*H133/100</f>
        <v>504970.63799999998</v>
      </c>
    </row>
    <row r="134" spans="1:16" ht="15">
      <c r="A134" s="372"/>
      <c r="B134" s="473"/>
      <c r="C134" s="459"/>
      <c r="D134" s="459"/>
      <c r="E134" s="461"/>
      <c r="F134" s="461"/>
      <c r="G134" s="505"/>
      <c r="H134" s="473"/>
      <c r="I134" s="473"/>
      <c r="J134" s="473"/>
      <c r="K134" s="473"/>
      <c r="L134" s="461"/>
      <c r="M134" s="505"/>
      <c r="N134" s="461"/>
      <c r="O134" s="461"/>
      <c r="P134" s="477"/>
    </row>
    <row r="135" spans="1:16" ht="15">
      <c r="A135" s="458">
        <v>14</v>
      </c>
      <c r="B135" s="123" t="s">
        <v>442</v>
      </c>
      <c r="D135" s="461"/>
      <c r="E135" s="461"/>
      <c r="F135" s="461"/>
      <c r="G135" s="461"/>
      <c r="H135" s="461"/>
      <c r="I135" s="461"/>
      <c r="J135" s="461"/>
      <c r="K135" s="461"/>
      <c r="L135" s="461"/>
      <c r="M135" s="461"/>
      <c r="N135" s="461"/>
      <c r="O135" s="461"/>
      <c r="P135" s="477"/>
    </row>
    <row r="136" spans="1:16" ht="15">
      <c r="A136" s="458"/>
      <c r="B136" s="123" t="s">
        <v>443</v>
      </c>
      <c r="D136" s="461"/>
      <c r="E136" s="461"/>
      <c r="F136" s="461"/>
      <c r="G136" s="461"/>
      <c r="H136" s="461"/>
      <c r="I136" s="461"/>
      <c r="J136" s="461"/>
      <c r="K136" s="461"/>
      <c r="L136" s="461"/>
      <c r="M136" s="461"/>
      <c r="N136" s="461"/>
      <c r="O136" s="461"/>
      <c r="P136" s="477"/>
    </row>
    <row r="137" spans="1:16" ht="15">
      <c r="A137" s="458"/>
      <c r="D137" s="461"/>
      <c r="E137" s="461"/>
      <c r="F137" s="461"/>
      <c r="G137" s="461"/>
      <c r="H137" s="461"/>
      <c r="I137" s="461"/>
      <c r="J137" s="461"/>
      <c r="K137" s="461"/>
      <c r="L137" s="461"/>
      <c r="M137" s="461"/>
      <c r="N137" s="461"/>
      <c r="O137" s="461"/>
      <c r="P137" s="477"/>
    </row>
    <row r="138" spans="1:16" ht="15">
      <c r="A138" s="458"/>
      <c r="D138" s="461"/>
      <c r="E138" s="469">
        <v>1</v>
      </c>
      <c r="F138" s="469" t="s">
        <v>2</v>
      </c>
      <c r="G138" s="469">
        <v>90</v>
      </c>
      <c r="H138" s="469"/>
      <c r="L138" s="479" t="s">
        <v>21</v>
      </c>
      <c r="M138" s="123">
        <v>90</v>
      </c>
      <c r="N138" s="123" t="s">
        <v>444</v>
      </c>
      <c r="O138" s="461"/>
      <c r="P138" s="477"/>
    </row>
    <row r="139" spans="1:16" ht="15">
      <c r="A139" s="458"/>
      <c r="D139" s="461"/>
      <c r="E139" s="461"/>
      <c r="F139" s="461"/>
      <c r="G139" s="461"/>
      <c r="H139" s="461"/>
      <c r="I139" s="461"/>
      <c r="J139" s="461"/>
      <c r="K139" s="461"/>
      <c r="L139" s="461"/>
      <c r="M139" s="461"/>
      <c r="N139" s="461"/>
      <c r="O139" s="461"/>
      <c r="P139" s="477"/>
    </row>
    <row r="140" spans="1:16" ht="15">
      <c r="A140" s="372"/>
      <c r="B140" s="477">
        <f>M138</f>
        <v>90</v>
      </c>
      <c r="C140" s="996" t="s">
        <v>445</v>
      </c>
      <c r="D140" s="996"/>
      <c r="E140" s="461"/>
      <c r="F140" s="461"/>
      <c r="G140" s="518" t="s">
        <v>396</v>
      </c>
      <c r="H140" s="993">
        <v>1000</v>
      </c>
      <c r="I140" s="993"/>
      <c r="J140" s="473"/>
      <c r="K140" s="473"/>
      <c r="L140" s="461"/>
      <c r="M140" s="518"/>
      <c r="N140" s="461" t="s">
        <v>446</v>
      </c>
      <c r="O140" s="461" t="s">
        <v>402</v>
      </c>
      <c r="P140" s="519">
        <f>B140*H140</f>
        <v>90000</v>
      </c>
    </row>
    <row r="141" spans="1:16">
      <c r="A141" s="372"/>
      <c r="B141" s="480"/>
      <c r="G141" s="506"/>
      <c r="H141" s="375"/>
      <c r="I141" s="375"/>
      <c r="J141" s="375"/>
      <c r="K141" s="375"/>
      <c r="M141" s="506"/>
      <c r="P141" s="462"/>
    </row>
    <row r="142" spans="1:16" ht="15">
      <c r="A142" s="507">
        <v>15</v>
      </c>
      <c r="B142" s="1000" t="s">
        <v>447</v>
      </c>
      <c r="C142" s="1000"/>
      <c r="D142" s="1000"/>
      <c r="E142" s="1000"/>
      <c r="F142" s="1000"/>
      <c r="G142" s="1000"/>
      <c r="H142" s="1000"/>
      <c r="I142" s="1000"/>
      <c r="J142" s="1000"/>
      <c r="K142" s="1000"/>
      <c r="L142" s="1000"/>
      <c r="M142" s="1000"/>
    </row>
    <row r="143" spans="1:16" ht="15">
      <c r="A143" s="507"/>
      <c r="B143" s="489"/>
      <c r="C143" s="489"/>
      <c r="D143" s="489"/>
      <c r="E143" s="489"/>
      <c r="F143" s="489"/>
      <c r="G143" s="489"/>
      <c r="H143" s="489"/>
      <c r="I143" s="489"/>
      <c r="J143" s="489"/>
      <c r="K143" s="489"/>
      <c r="L143" s="489"/>
      <c r="M143" s="489"/>
    </row>
    <row r="144" spans="1:16" ht="15">
      <c r="A144" s="507"/>
      <c r="B144" s="515"/>
      <c r="C144" s="489"/>
      <c r="D144" s="516" t="s">
        <v>448</v>
      </c>
      <c r="E144" s="520"/>
      <c r="F144" s="520"/>
      <c r="G144" s="520"/>
      <c r="H144" s="520"/>
      <c r="I144" s="520"/>
      <c r="J144" s="520"/>
      <c r="K144" s="520"/>
      <c r="L144" s="469" t="s">
        <v>3</v>
      </c>
      <c r="M144" s="521">
        <f>M131</f>
        <v>41610</v>
      </c>
      <c r="N144" s="485" t="s">
        <v>8</v>
      </c>
    </row>
    <row r="145" spans="1:16" ht="15">
      <c r="A145" s="507"/>
      <c r="B145" s="489"/>
      <c r="C145" s="469"/>
      <c r="D145" s="1003">
        <f>M144</f>
        <v>41610</v>
      </c>
      <c r="E145" s="1003"/>
      <c r="F145" s="469" t="s">
        <v>2</v>
      </c>
      <c r="G145" s="513">
        <v>5.3999999999999999E-2</v>
      </c>
      <c r="H145" s="469" t="s">
        <v>2</v>
      </c>
      <c r="I145" s="512">
        <v>7</v>
      </c>
      <c r="J145" s="513"/>
      <c r="K145" s="513"/>
      <c r="L145" s="469" t="s">
        <v>3</v>
      </c>
      <c r="M145" s="521">
        <f>D145*G145*I145</f>
        <v>15728.58</v>
      </c>
      <c r="N145" s="485" t="s">
        <v>449</v>
      </c>
    </row>
    <row r="146" spans="1:16" ht="15">
      <c r="A146" s="507"/>
      <c r="B146" s="489"/>
      <c r="C146" s="489"/>
      <c r="D146" s="489"/>
      <c r="E146" s="489"/>
      <c r="F146" s="489"/>
      <c r="G146" s="489"/>
      <c r="H146" s="489"/>
      <c r="I146" s="489"/>
      <c r="J146" s="1004" t="s">
        <v>34</v>
      </c>
      <c r="K146" s="1004"/>
      <c r="L146" s="522" t="s">
        <v>21</v>
      </c>
      <c r="M146" s="523">
        <f>ROUND(M145,0)</f>
        <v>15729</v>
      </c>
    </row>
    <row r="147" spans="1:16" ht="15">
      <c r="A147" s="507"/>
      <c r="B147" s="489"/>
      <c r="C147" s="489"/>
      <c r="D147" s="489"/>
      <c r="E147" s="489"/>
      <c r="F147" s="489"/>
      <c r="G147" s="489"/>
      <c r="H147" s="489"/>
      <c r="I147" s="489"/>
      <c r="J147" s="507"/>
      <c r="K147" s="507"/>
      <c r="L147" s="522"/>
      <c r="M147" s="523"/>
    </row>
    <row r="148" spans="1:16" ht="15">
      <c r="A148" s="511"/>
      <c r="B148" s="473">
        <f>M146</f>
        <v>15729</v>
      </c>
      <c r="C148" s="996" t="s">
        <v>449</v>
      </c>
      <c r="D148" s="996"/>
      <c r="E148" s="461"/>
      <c r="F148" s="461"/>
      <c r="G148" s="505" t="s">
        <v>11</v>
      </c>
      <c r="H148" s="993">
        <v>300</v>
      </c>
      <c r="I148" s="993"/>
      <c r="J148" s="473"/>
      <c r="K148" s="473"/>
      <c r="L148" s="461"/>
      <c r="M148" s="505"/>
      <c r="N148" s="461" t="s">
        <v>450</v>
      </c>
      <c r="O148" s="461" t="s">
        <v>402</v>
      </c>
      <c r="P148" s="477">
        <f>B148*H148</f>
        <v>4718700</v>
      </c>
    </row>
    <row r="149" spans="1:16">
      <c r="A149" s="372"/>
      <c r="B149" s="480"/>
      <c r="G149" s="506"/>
      <c r="H149" s="375"/>
      <c r="I149" s="375"/>
      <c r="J149" s="375"/>
      <c r="K149" s="375"/>
      <c r="M149" s="506"/>
      <c r="P149" s="462"/>
    </row>
    <row r="150" spans="1:16" ht="15">
      <c r="A150" s="507">
        <v>16</v>
      </c>
      <c r="B150" s="1000" t="s">
        <v>451</v>
      </c>
      <c r="C150" s="1000"/>
      <c r="D150" s="1000"/>
      <c r="E150" s="1000"/>
      <c r="F150" s="1000"/>
      <c r="G150" s="1000"/>
      <c r="H150" s="1000"/>
      <c r="I150" s="1000"/>
      <c r="J150" s="1000"/>
      <c r="K150" s="1000"/>
      <c r="L150" s="1000"/>
      <c r="M150" s="1000"/>
    </row>
    <row r="151" spans="1:16" ht="15">
      <c r="A151" s="507"/>
      <c r="B151" s="515" t="s">
        <v>452</v>
      </c>
      <c r="C151" s="489"/>
      <c r="D151" s="489"/>
      <c r="E151" s="489"/>
      <c r="F151" s="489"/>
      <c r="G151" s="489"/>
      <c r="H151" s="489"/>
      <c r="I151" s="489"/>
      <c r="J151" s="489"/>
      <c r="K151" s="489"/>
      <c r="L151" s="489"/>
      <c r="M151" s="489"/>
    </row>
    <row r="152" spans="1:16" ht="15">
      <c r="A152" s="507"/>
      <c r="B152" s="515" t="s">
        <v>453</v>
      </c>
      <c r="C152" s="489"/>
      <c r="D152" s="489"/>
      <c r="E152" s="510" t="s">
        <v>454</v>
      </c>
      <c r="F152" s="489"/>
      <c r="G152" s="489"/>
      <c r="H152" s="489"/>
      <c r="I152" s="489"/>
      <c r="J152" s="489"/>
      <c r="K152" s="489"/>
      <c r="L152" s="489"/>
      <c r="M152" s="489"/>
    </row>
    <row r="153" spans="1:16" ht="15">
      <c r="A153" s="507"/>
      <c r="B153" s="489"/>
      <c r="C153" s="489"/>
      <c r="D153" s="489"/>
      <c r="E153" s="489"/>
      <c r="F153" s="489"/>
      <c r="G153" s="489"/>
      <c r="H153" s="489"/>
      <c r="I153" s="489"/>
      <c r="J153" s="489"/>
      <c r="K153" s="489"/>
      <c r="L153" s="489"/>
      <c r="M153" s="489"/>
    </row>
    <row r="154" spans="1:16" ht="15">
      <c r="A154" s="507"/>
      <c r="B154" s="489"/>
      <c r="C154" s="469"/>
      <c r="D154" s="521"/>
      <c r="E154" s="524">
        <v>300</v>
      </c>
      <c r="F154" s="469"/>
      <c r="G154" s="513" t="s">
        <v>455</v>
      </c>
      <c r="H154" s="469" t="s">
        <v>2</v>
      </c>
      <c r="I154" s="499">
        <v>0.25</v>
      </c>
      <c r="J154" s="513"/>
      <c r="K154" s="513"/>
      <c r="L154" s="469" t="s">
        <v>3</v>
      </c>
      <c r="M154" s="521">
        <f>E154*I154</f>
        <v>75</v>
      </c>
      <c r="N154" s="485" t="s">
        <v>9</v>
      </c>
    </row>
    <row r="155" spans="1:16" ht="15">
      <c r="A155" s="507"/>
      <c r="B155" s="489"/>
      <c r="C155" s="489"/>
      <c r="D155" s="489"/>
      <c r="E155" s="489"/>
      <c r="F155" s="489"/>
      <c r="G155" s="489"/>
      <c r="H155" s="489"/>
      <c r="I155" s="489"/>
      <c r="J155" s="507"/>
      <c r="K155" s="507"/>
      <c r="L155" s="522"/>
      <c r="M155" s="523"/>
    </row>
    <row r="156" spans="1:16" ht="15">
      <c r="A156" s="511"/>
      <c r="B156" s="473">
        <f>M154</f>
        <v>75</v>
      </c>
      <c r="C156" s="996" t="s">
        <v>9</v>
      </c>
      <c r="D156" s="996"/>
      <c r="E156" s="461"/>
      <c r="F156" s="461"/>
      <c r="G156" s="505" t="s">
        <v>11</v>
      </c>
      <c r="H156" s="993">
        <v>6420.61</v>
      </c>
      <c r="I156" s="993"/>
      <c r="J156" s="473"/>
      <c r="K156" s="473"/>
      <c r="L156" s="461"/>
      <c r="M156" s="505"/>
      <c r="N156" s="461" t="s">
        <v>430</v>
      </c>
      <c r="O156" s="461" t="s">
        <v>402</v>
      </c>
      <c r="P156" s="477">
        <f>B156*H156</f>
        <v>481545.75</v>
      </c>
    </row>
    <row r="157" spans="1:16">
      <c r="A157" s="372"/>
      <c r="B157" s="480"/>
      <c r="G157" s="506"/>
      <c r="H157" s="375"/>
      <c r="I157" s="375"/>
      <c r="J157" s="375"/>
      <c r="K157" s="375"/>
      <c r="M157" s="506"/>
      <c r="P157" s="462"/>
    </row>
    <row r="158" spans="1:16" ht="15">
      <c r="A158" s="458">
        <v>17</v>
      </c>
      <c r="B158" s="123" t="s">
        <v>456</v>
      </c>
      <c r="D158" s="461"/>
      <c r="E158" s="461"/>
      <c r="F158" s="461"/>
      <c r="G158" s="461"/>
      <c r="H158" s="461"/>
      <c r="I158" s="461"/>
      <c r="J158" s="461"/>
      <c r="K158" s="461"/>
      <c r="L158" s="461"/>
      <c r="M158" s="461"/>
      <c r="N158" s="461"/>
      <c r="O158" s="461"/>
      <c r="P158" s="477"/>
    </row>
    <row r="159" spans="1:16" ht="15">
      <c r="A159" s="458"/>
      <c r="B159" s="123" t="s">
        <v>457</v>
      </c>
      <c r="D159" s="461"/>
      <c r="E159" s="461"/>
      <c r="F159" s="461"/>
      <c r="G159" s="461"/>
      <c r="H159" s="461"/>
      <c r="I159" s="461" t="s">
        <v>458</v>
      </c>
      <c r="J159" s="461"/>
      <c r="K159" s="461"/>
      <c r="L159" s="461"/>
      <c r="M159" s="461"/>
      <c r="N159" s="461"/>
      <c r="O159" s="461"/>
      <c r="P159" s="477"/>
    </row>
    <row r="160" spans="1:16" ht="15">
      <c r="A160" s="458"/>
      <c r="D160" s="461"/>
      <c r="E160" s="461"/>
      <c r="F160" s="461"/>
      <c r="G160" s="461"/>
      <c r="H160" s="461"/>
      <c r="I160" s="461"/>
      <c r="J160" s="461"/>
      <c r="K160" s="461"/>
      <c r="L160" s="461"/>
      <c r="M160" s="461"/>
      <c r="N160" s="461"/>
      <c r="O160" s="461"/>
      <c r="P160" s="477"/>
    </row>
    <row r="161" spans="1:16" ht="15">
      <c r="A161" s="458"/>
      <c r="C161" s="469">
        <v>2</v>
      </c>
      <c r="D161" s="469" t="s">
        <v>2</v>
      </c>
      <c r="E161" s="552">
        <f>E29+E31</f>
        <v>4000</v>
      </c>
      <c r="F161" s="469" t="s">
        <v>2</v>
      </c>
      <c r="G161" s="499">
        <v>0.5</v>
      </c>
      <c r="H161" s="469" t="s">
        <v>2</v>
      </c>
      <c r="I161" s="500">
        <v>6.5</v>
      </c>
      <c r="J161" s="500"/>
      <c r="K161" s="500"/>
      <c r="L161" s="469" t="s">
        <v>3</v>
      </c>
      <c r="M161" s="499">
        <f>C161*E161*G161*I161</f>
        <v>26000</v>
      </c>
      <c r="N161" s="123" t="s">
        <v>6</v>
      </c>
      <c r="O161" s="461"/>
      <c r="P161" s="477"/>
    </row>
    <row r="162" spans="1:16" ht="15">
      <c r="A162" s="458"/>
      <c r="D162" s="461"/>
      <c r="E162" s="461"/>
      <c r="F162" s="461"/>
      <c r="G162" s="461"/>
      <c r="H162" s="461"/>
      <c r="I162" s="461"/>
      <c r="J162" s="461"/>
      <c r="K162" s="461"/>
      <c r="L162" s="461"/>
      <c r="M162" s="461"/>
      <c r="N162" s="461"/>
      <c r="O162" s="461"/>
      <c r="P162" s="477"/>
    </row>
    <row r="163" spans="1:16" ht="15">
      <c r="A163" s="372"/>
      <c r="B163" s="446">
        <f>M161</f>
        <v>26000</v>
      </c>
      <c r="C163" s="1005" t="s">
        <v>6</v>
      </c>
      <c r="D163" s="1005"/>
      <c r="E163" s="354"/>
      <c r="F163" s="354"/>
      <c r="G163" s="525" t="s">
        <v>396</v>
      </c>
      <c r="H163" s="958">
        <v>2760</v>
      </c>
      <c r="I163" s="958"/>
      <c r="J163" s="446"/>
      <c r="K163" s="446"/>
      <c r="L163" s="354"/>
      <c r="M163" s="525"/>
      <c r="N163" s="354" t="s">
        <v>459</v>
      </c>
      <c r="O163" s="354" t="s">
        <v>402</v>
      </c>
      <c r="P163" s="526">
        <f>B163*H163/1000</f>
        <v>71760</v>
      </c>
    </row>
    <row r="164" spans="1:16">
      <c r="A164" s="372"/>
      <c r="B164" s="480"/>
      <c r="G164" s="506"/>
      <c r="H164" s="375"/>
      <c r="I164" s="375"/>
      <c r="J164" s="375"/>
      <c r="K164" s="375"/>
      <c r="M164" s="506"/>
      <c r="P164" s="462"/>
    </row>
    <row r="165" spans="1:16" ht="15">
      <c r="A165" s="458">
        <v>18</v>
      </c>
      <c r="B165" s="123" t="s">
        <v>460</v>
      </c>
      <c r="D165" s="461"/>
      <c r="E165" s="461"/>
      <c r="F165" s="461"/>
      <c r="G165" s="461"/>
      <c r="H165" s="461"/>
      <c r="I165" s="461"/>
      <c r="J165" s="461"/>
      <c r="K165" s="461"/>
      <c r="L165" s="461"/>
      <c r="M165" s="461"/>
      <c r="N165" s="461"/>
      <c r="O165" s="461"/>
      <c r="P165" s="477"/>
    </row>
    <row r="166" spans="1:16" ht="15">
      <c r="A166" s="458"/>
      <c r="B166" s="123" t="s">
        <v>461</v>
      </c>
      <c r="D166" s="461"/>
      <c r="E166" s="461"/>
      <c r="F166" s="461"/>
      <c r="G166" s="461"/>
      <c r="H166" s="461"/>
      <c r="I166" s="461"/>
      <c r="J166" s="461"/>
      <c r="K166" s="461"/>
      <c r="L166" s="461"/>
      <c r="M166" s="461"/>
      <c r="N166" s="461"/>
      <c r="O166" s="461"/>
      <c r="P166" s="477"/>
    </row>
    <row r="167" spans="1:16" ht="15">
      <c r="A167" s="458"/>
      <c r="D167" s="461"/>
      <c r="E167" s="461"/>
      <c r="F167" s="461"/>
      <c r="G167" s="461"/>
      <c r="H167" s="461"/>
      <c r="I167" s="461"/>
      <c r="J167" s="461"/>
      <c r="K167" s="461"/>
      <c r="L167" s="461"/>
      <c r="M167" s="461"/>
      <c r="N167" s="461"/>
      <c r="O167" s="461"/>
      <c r="P167" s="477"/>
    </row>
    <row r="168" spans="1:16" ht="15">
      <c r="A168" s="458"/>
      <c r="B168" s="527" t="s">
        <v>462</v>
      </c>
      <c r="C168" s="527"/>
      <c r="D168" s="463"/>
      <c r="E168" s="372"/>
      <c r="F168" s="372"/>
      <c r="G168" s="480"/>
      <c r="I168" s="528"/>
      <c r="J168" s="528"/>
      <c r="K168" s="528"/>
      <c r="L168" s="372" t="s">
        <v>21</v>
      </c>
      <c r="M168" s="499">
        <f>M7+M14+M21+M32</f>
        <v>159675</v>
      </c>
      <c r="O168" s="461"/>
      <c r="P168" s="477"/>
    </row>
    <row r="169" spans="1:16" ht="15">
      <c r="A169" s="458"/>
      <c r="D169" s="372"/>
      <c r="E169" s="372"/>
      <c r="F169" s="372"/>
      <c r="G169" s="480"/>
      <c r="I169" s="528"/>
      <c r="J169" s="528"/>
      <c r="K169" s="528"/>
      <c r="L169" s="372"/>
      <c r="M169" s="499"/>
      <c r="O169" s="461"/>
      <c r="P169" s="477"/>
    </row>
    <row r="170" spans="1:16" ht="15">
      <c r="A170" s="458"/>
      <c r="B170" s="527" t="s">
        <v>463</v>
      </c>
      <c r="C170" s="527"/>
      <c r="D170" s="463"/>
      <c r="E170" s="463"/>
      <c r="F170" s="372"/>
      <c r="G170" s="480"/>
      <c r="I170" s="500" t="s">
        <v>30</v>
      </c>
      <c r="J170" s="500"/>
      <c r="K170" s="500"/>
      <c r="L170" s="372" t="s">
        <v>21</v>
      </c>
      <c r="M170" s="499">
        <f>M161</f>
        <v>26000</v>
      </c>
      <c r="O170" s="461"/>
      <c r="P170" s="477"/>
    </row>
    <row r="171" spans="1:16" ht="15">
      <c r="A171" s="458"/>
      <c r="D171" s="372"/>
      <c r="E171" s="372"/>
      <c r="F171" s="372"/>
      <c r="G171" s="480"/>
      <c r="H171" s="1002" t="s">
        <v>373</v>
      </c>
      <c r="I171" s="1002"/>
      <c r="J171" s="372"/>
      <c r="K171" s="372"/>
      <c r="L171" s="372" t="s">
        <v>21</v>
      </c>
      <c r="M171" s="529">
        <f>M168-M170</f>
        <v>133675</v>
      </c>
      <c r="O171" s="461"/>
      <c r="P171" s="477"/>
    </row>
    <row r="172" spans="1:16" ht="15">
      <c r="A172" s="458"/>
      <c r="D172" s="372"/>
      <c r="E172" s="372"/>
      <c r="F172" s="372"/>
      <c r="G172" s="480"/>
      <c r="I172" s="500"/>
      <c r="J172" s="500"/>
      <c r="K172" s="500"/>
      <c r="M172" s="480"/>
      <c r="O172" s="461"/>
      <c r="P172" s="477"/>
    </row>
    <row r="173" spans="1:16" ht="15">
      <c r="A173" s="372"/>
      <c r="B173" s="473">
        <f>M171</f>
        <v>133675</v>
      </c>
      <c r="C173" s="461"/>
      <c r="D173" s="461" t="s">
        <v>6</v>
      </c>
      <c r="E173" s="461"/>
      <c r="F173" s="461"/>
      <c r="G173" s="518" t="s">
        <v>396</v>
      </c>
      <c r="H173" s="993">
        <v>407</v>
      </c>
      <c r="I173" s="993"/>
      <c r="J173" s="473"/>
      <c r="K173" s="473"/>
      <c r="L173" s="461"/>
      <c r="M173" s="518"/>
      <c r="N173" s="461" t="s">
        <v>435</v>
      </c>
      <c r="O173" s="530" t="s">
        <v>402</v>
      </c>
      <c r="P173" s="519">
        <f>B173*H173/100</f>
        <v>544057.25</v>
      </c>
    </row>
    <row r="174" spans="1:16" ht="15">
      <c r="A174" s="372"/>
      <c r="B174" s="473"/>
      <c r="C174" s="461"/>
      <c r="D174" s="461"/>
      <c r="E174" s="461"/>
      <c r="F174" s="461"/>
      <c r="G174" s="518"/>
      <c r="H174" s="473"/>
      <c r="I174" s="473"/>
      <c r="J174" s="473"/>
      <c r="K174" s="473"/>
      <c r="L174" s="461"/>
      <c r="M174" s="518"/>
      <c r="N174" s="461"/>
      <c r="O174" s="530"/>
      <c r="P174" s="519"/>
    </row>
    <row r="175" spans="1:16" ht="15">
      <c r="A175" s="372"/>
      <c r="B175" s="473"/>
      <c r="C175" s="461"/>
      <c r="D175" s="461"/>
      <c r="E175" s="461"/>
      <c r="F175" s="461"/>
      <c r="G175" s="518"/>
      <c r="H175" s="473"/>
      <c r="I175" s="473"/>
      <c r="J175" s="473"/>
      <c r="K175" s="473"/>
      <c r="L175" s="461"/>
      <c r="M175" s="518"/>
      <c r="N175" s="461"/>
      <c r="O175" s="530"/>
      <c r="P175" s="519"/>
    </row>
    <row r="176" spans="1:16" ht="15">
      <c r="A176" s="372"/>
      <c r="B176" s="473"/>
      <c r="C176" s="461"/>
      <c r="D176" s="461"/>
      <c r="E176" s="461"/>
      <c r="F176" s="461"/>
      <c r="G176" s="518"/>
      <c r="H176" s="473"/>
      <c r="I176" s="473"/>
      <c r="J176" s="473"/>
      <c r="K176" s="473"/>
      <c r="L176" s="461"/>
      <c r="M176" s="518"/>
      <c r="N176" s="461"/>
      <c r="O176" s="530"/>
      <c r="P176" s="519"/>
    </row>
    <row r="177" spans="1:16" ht="15">
      <c r="A177" s="372"/>
      <c r="B177" s="473"/>
      <c r="C177" s="461"/>
      <c r="D177" s="461"/>
      <c r="E177" s="461"/>
      <c r="F177" s="461"/>
      <c r="G177" s="518"/>
      <c r="H177" s="473"/>
      <c r="I177" s="473"/>
      <c r="J177" s="473"/>
      <c r="K177" s="473"/>
      <c r="L177" s="461"/>
      <c r="M177" s="518"/>
      <c r="N177" s="461"/>
      <c r="O177" s="530"/>
      <c r="P177" s="519"/>
    </row>
    <row r="178" spans="1:16" ht="15">
      <c r="A178" s="372"/>
      <c r="B178" s="473"/>
      <c r="C178" s="461"/>
      <c r="D178" s="461"/>
      <c r="E178" s="461"/>
      <c r="F178" s="461"/>
      <c r="G178" s="518"/>
      <c r="H178" s="473"/>
      <c r="I178" s="473"/>
      <c r="J178" s="473"/>
      <c r="K178" s="473"/>
      <c r="L178" s="461"/>
      <c r="M178" s="518"/>
      <c r="N178" s="461"/>
      <c r="O178" s="530"/>
      <c r="P178" s="519"/>
    </row>
    <row r="179" spans="1:16" ht="15">
      <c r="A179" s="507">
        <v>19</v>
      </c>
      <c r="B179" s="1000" t="s">
        <v>464</v>
      </c>
      <c r="C179" s="1000"/>
      <c r="D179" s="1000"/>
      <c r="E179" s="1000"/>
      <c r="F179" s="1000"/>
      <c r="G179" s="1000"/>
      <c r="H179" s="1000"/>
      <c r="I179" s="1000"/>
      <c r="J179" s="1000"/>
      <c r="K179" s="1000"/>
      <c r="L179" s="1000"/>
      <c r="M179" s="1000"/>
    </row>
    <row r="180" spans="1:16" ht="15">
      <c r="A180" s="507"/>
      <c r="B180" s="515" t="s">
        <v>465</v>
      </c>
      <c r="C180" s="489"/>
      <c r="D180" s="489"/>
      <c r="E180" s="489"/>
      <c r="F180" s="489"/>
      <c r="G180" s="489"/>
      <c r="H180" s="489"/>
      <c r="I180" s="489"/>
      <c r="J180" s="489"/>
      <c r="K180" s="489"/>
      <c r="L180" s="489"/>
      <c r="M180" s="489"/>
    </row>
    <row r="181" spans="1:16" ht="15">
      <c r="A181" s="507"/>
      <c r="B181" s="515"/>
      <c r="C181" s="489"/>
      <c r="D181" s="489"/>
      <c r="E181" s="510"/>
      <c r="F181" s="489"/>
      <c r="G181" s="489"/>
      <c r="H181" s="489"/>
      <c r="I181" s="489"/>
      <c r="J181" s="489"/>
      <c r="K181" s="489"/>
      <c r="L181" s="489"/>
      <c r="M181" s="489"/>
    </row>
    <row r="182" spans="1:16" ht="15">
      <c r="A182" s="507"/>
      <c r="B182" s="489" t="s">
        <v>466</v>
      </c>
      <c r="C182" s="515" t="s">
        <v>467</v>
      </c>
      <c r="D182" s="489"/>
      <c r="E182" s="489"/>
      <c r="F182" s="489"/>
      <c r="G182" s="489"/>
      <c r="H182" s="489"/>
      <c r="I182" s="489"/>
      <c r="J182" s="489"/>
      <c r="K182" s="489"/>
      <c r="L182" s="531" t="s">
        <v>3</v>
      </c>
      <c r="M182" s="521">
        <v>2600</v>
      </c>
      <c r="N182" s="485"/>
    </row>
    <row r="183" spans="1:16" ht="15">
      <c r="A183" s="507"/>
      <c r="B183" s="489"/>
      <c r="C183" s="515" t="s">
        <v>468</v>
      </c>
      <c r="D183" s="489"/>
      <c r="E183" s="489"/>
      <c r="F183" s="489"/>
      <c r="G183" s="489"/>
      <c r="H183" s="489"/>
      <c r="I183" s="499"/>
      <c r="J183" s="513"/>
      <c r="K183" s="513"/>
      <c r="L183" s="531" t="s">
        <v>3</v>
      </c>
      <c r="M183" s="521">
        <v>2600</v>
      </c>
      <c r="N183" s="485"/>
    </row>
    <row r="184" spans="1:16" ht="15">
      <c r="A184" s="507"/>
      <c r="B184" s="489"/>
      <c r="C184" s="515"/>
      <c r="D184" s="489"/>
      <c r="E184" s="489"/>
      <c r="F184" s="489"/>
      <c r="G184" s="489"/>
      <c r="H184" s="489"/>
      <c r="I184" s="499"/>
      <c r="J184" s="1006" t="s">
        <v>373</v>
      </c>
      <c r="K184" s="1006"/>
      <c r="L184" s="531" t="s">
        <v>21</v>
      </c>
      <c r="M184" s="532">
        <f>SUM(M182:M183)</f>
        <v>5200</v>
      </c>
      <c r="N184" s="485" t="s">
        <v>469</v>
      </c>
    </row>
    <row r="185" spans="1:16" ht="15">
      <c r="A185" s="507"/>
      <c r="B185" s="489"/>
      <c r="C185" s="515"/>
      <c r="D185" s="489"/>
      <c r="E185" s="489"/>
      <c r="F185" s="489"/>
      <c r="G185" s="489"/>
      <c r="H185" s="489"/>
      <c r="I185" s="499"/>
      <c r="J185" s="533"/>
      <c r="K185" s="533"/>
      <c r="L185" s="531"/>
      <c r="M185" s="534"/>
      <c r="N185" s="485"/>
    </row>
    <row r="186" spans="1:16" ht="15">
      <c r="A186" s="507"/>
      <c r="B186" s="535">
        <v>1</v>
      </c>
      <c r="C186" s="511" t="s">
        <v>2</v>
      </c>
      <c r="D186" s="1007" t="s">
        <v>470</v>
      </c>
      <c r="E186" s="1007"/>
      <c r="F186" s="536">
        <v>2.5</v>
      </c>
      <c r="G186" s="511" t="s">
        <v>2</v>
      </c>
      <c r="H186" s="537">
        <v>1</v>
      </c>
      <c r="I186" s="538" t="s">
        <v>135</v>
      </c>
      <c r="J186" s="537">
        <v>2</v>
      </c>
      <c r="K186" s="538" t="s">
        <v>135</v>
      </c>
      <c r="L186" s="537">
        <v>3</v>
      </c>
      <c r="M186" s="539" t="s">
        <v>21</v>
      </c>
      <c r="N186" s="485">
        <f>H186+J186+L186/H187*B186*5200*3</f>
        <v>15603</v>
      </c>
    </row>
    <row r="187" spans="1:16" ht="15">
      <c r="A187" s="507"/>
      <c r="B187" s="489"/>
      <c r="C187" s="515"/>
      <c r="D187" s="489"/>
      <c r="E187" s="489"/>
      <c r="F187" s="489"/>
      <c r="G187" s="489"/>
      <c r="H187" s="1008">
        <v>3</v>
      </c>
      <c r="I187" s="1008"/>
      <c r="J187" s="1008"/>
      <c r="K187" s="1008"/>
      <c r="L187" s="1008"/>
      <c r="M187" s="534"/>
      <c r="N187" s="485"/>
    </row>
    <row r="188" spans="1:16" ht="15">
      <c r="A188" s="507"/>
      <c r="B188" s="473">
        <v>26000</v>
      </c>
      <c r="C188" s="461"/>
      <c r="D188" s="461" t="s">
        <v>6</v>
      </c>
      <c r="E188" s="461"/>
      <c r="F188" s="461"/>
      <c r="G188" s="518" t="s">
        <v>396</v>
      </c>
      <c r="H188" s="993">
        <v>56.3</v>
      </c>
      <c r="I188" s="993"/>
      <c r="J188" s="473"/>
      <c r="K188" s="473"/>
      <c r="L188" s="461"/>
      <c r="M188" s="518"/>
      <c r="N188" s="461" t="s">
        <v>471</v>
      </c>
      <c r="O188" s="530" t="s">
        <v>402</v>
      </c>
      <c r="P188" s="519">
        <f>B188*H188</f>
        <v>1463800</v>
      </c>
    </row>
    <row r="189" spans="1:16" ht="15">
      <c r="A189" s="507"/>
      <c r="B189" s="489"/>
      <c r="C189" s="515"/>
      <c r="D189" s="489"/>
      <c r="E189" s="489"/>
      <c r="F189" s="489"/>
      <c r="G189" s="489"/>
      <c r="H189" s="489"/>
      <c r="I189" s="499"/>
      <c r="J189" s="533"/>
      <c r="K189" s="533"/>
      <c r="L189" s="531"/>
      <c r="M189" s="534"/>
      <c r="N189" s="485"/>
    </row>
    <row r="190" spans="1:16" ht="15">
      <c r="A190" s="511"/>
      <c r="B190" s="473"/>
      <c r="C190" s="996"/>
      <c r="D190" s="996"/>
      <c r="E190" s="461"/>
      <c r="F190" s="461"/>
      <c r="G190" s="505"/>
      <c r="H190" s="993"/>
      <c r="I190" s="993"/>
      <c r="J190" s="473"/>
      <c r="K190" s="473"/>
      <c r="L190" s="461"/>
      <c r="M190" s="505"/>
      <c r="N190" s="461"/>
      <c r="O190" s="461"/>
      <c r="P190" s="477"/>
    </row>
    <row r="191" spans="1:16" ht="15">
      <c r="A191" s="372"/>
      <c r="B191" s="540"/>
      <c r="G191" s="506"/>
      <c r="H191" s="375"/>
      <c r="I191" s="375"/>
      <c r="J191" s="375"/>
      <c r="K191" s="375"/>
      <c r="M191" s="506"/>
      <c r="N191" s="458" t="s">
        <v>472</v>
      </c>
      <c r="O191" s="541" t="s">
        <v>402</v>
      </c>
      <c r="P191" s="542">
        <f>SUM(P9:P190)</f>
        <v>39193852.757622771</v>
      </c>
    </row>
    <row r="192" spans="1:16">
      <c r="A192" s="372"/>
      <c r="B192" s="480"/>
      <c r="G192" s="506"/>
      <c r="H192" s="375"/>
      <c r="I192" s="375"/>
      <c r="J192" s="375"/>
      <c r="K192" s="375"/>
      <c r="M192" s="506"/>
      <c r="P192" s="462"/>
    </row>
    <row r="193" spans="1:17">
      <c r="A193" s="372"/>
      <c r="B193" s="480"/>
      <c r="G193" s="506"/>
      <c r="H193" s="375"/>
      <c r="I193" s="375"/>
      <c r="J193" s="375"/>
      <c r="K193" s="375"/>
      <c r="M193" s="506"/>
      <c r="P193" s="462"/>
    </row>
    <row r="194" spans="1:17">
      <c r="A194" s="372"/>
      <c r="B194" s="480"/>
      <c r="G194" s="506"/>
      <c r="H194" s="375"/>
      <c r="I194" s="375"/>
      <c r="J194" s="375"/>
      <c r="K194" s="375"/>
      <c r="M194" s="506"/>
      <c r="P194" s="462"/>
    </row>
    <row r="195" spans="1:17">
      <c r="A195" s="372"/>
      <c r="B195" s="480"/>
      <c r="G195" s="506"/>
      <c r="H195" s="375"/>
      <c r="I195" s="375"/>
      <c r="J195" s="375"/>
      <c r="K195" s="375"/>
      <c r="M195" s="506"/>
      <c r="P195" s="462"/>
    </row>
    <row r="196" spans="1:17">
      <c r="A196" s="372"/>
      <c r="B196" s="480"/>
      <c r="G196" s="506"/>
      <c r="H196" s="375"/>
      <c r="I196" s="375"/>
      <c r="J196" s="375"/>
      <c r="K196" s="375"/>
      <c r="M196" s="506"/>
      <c r="P196" s="462"/>
    </row>
    <row r="197" spans="1:17">
      <c r="A197" s="372"/>
      <c r="B197" s="480"/>
      <c r="G197" s="506"/>
      <c r="H197" s="375"/>
      <c r="I197" s="375"/>
      <c r="J197" s="375"/>
      <c r="K197" s="375"/>
      <c r="M197" s="506"/>
      <c r="P197" s="462"/>
    </row>
    <row r="198" spans="1:17">
      <c r="A198" s="372"/>
      <c r="B198" s="480"/>
      <c r="G198" s="506"/>
      <c r="H198" s="375"/>
      <c r="I198" s="375"/>
      <c r="J198" s="375"/>
      <c r="K198" s="375"/>
      <c r="M198" s="506"/>
      <c r="P198" s="462"/>
    </row>
    <row r="199" spans="1:17">
      <c r="A199" s="372"/>
      <c r="B199" s="480"/>
      <c r="G199" s="506"/>
      <c r="H199" s="375"/>
      <c r="I199" s="375"/>
      <c r="J199" s="375"/>
      <c r="K199" s="375"/>
      <c r="M199" s="506"/>
      <c r="P199" s="462"/>
    </row>
    <row r="200" spans="1:17">
      <c r="B200" s="543"/>
      <c r="G200" s="479"/>
      <c r="H200" s="375"/>
      <c r="I200" s="375"/>
      <c r="J200" s="375"/>
      <c r="K200" s="375"/>
      <c r="M200" s="506"/>
      <c r="P200" s="462"/>
    </row>
    <row r="201" spans="1:17" ht="15">
      <c r="A201" s="498"/>
    </row>
    <row r="206" spans="1:17" ht="15.75">
      <c r="G206" s="7"/>
      <c r="H206" s="7"/>
      <c r="I206" s="7"/>
      <c r="J206" s="7"/>
      <c r="K206" s="7"/>
      <c r="L206" s="7"/>
      <c r="M206" s="7"/>
      <c r="N206" s="367"/>
      <c r="O206" s="544"/>
      <c r="P206" s="545"/>
      <c r="Q206" s="468"/>
    </row>
    <row r="212" spans="2:16">
      <c r="B212" s="485"/>
      <c r="C212" s="485"/>
      <c r="D212" s="485"/>
      <c r="E212" s="485"/>
      <c r="F212" s="485"/>
      <c r="G212" s="485"/>
      <c r="M212" s="485"/>
      <c r="N212" s="485"/>
      <c r="O212" s="485"/>
      <c r="P212" s="485"/>
    </row>
    <row r="213" spans="2:16">
      <c r="B213" s="485"/>
      <c r="C213" s="485"/>
      <c r="D213" s="485"/>
      <c r="E213" s="485"/>
      <c r="F213" s="485"/>
      <c r="G213" s="485"/>
      <c r="M213" s="485"/>
      <c r="N213" s="485"/>
      <c r="O213" s="485"/>
      <c r="P213" s="485"/>
    </row>
    <row r="214" spans="2:16">
      <c r="B214" s="485"/>
      <c r="C214" s="485"/>
      <c r="D214" s="485"/>
      <c r="E214" s="485"/>
      <c r="F214" s="485"/>
      <c r="G214" s="485"/>
      <c r="M214" s="485"/>
      <c r="N214" s="485"/>
      <c r="O214" s="485"/>
      <c r="P214" s="485"/>
    </row>
  </sheetData>
  <mergeCells count="51">
    <mergeCell ref="C190:D190"/>
    <mergeCell ref="H190:I190"/>
    <mergeCell ref="H173:I173"/>
    <mergeCell ref="B179:M179"/>
    <mergeCell ref="J184:K184"/>
    <mergeCell ref="D186:E186"/>
    <mergeCell ref="H187:L187"/>
    <mergeCell ref="H188:I188"/>
    <mergeCell ref="H171:I171"/>
    <mergeCell ref="C140:D140"/>
    <mergeCell ref="H140:I140"/>
    <mergeCell ref="B142:M142"/>
    <mergeCell ref="D145:E145"/>
    <mergeCell ref="J146:K146"/>
    <mergeCell ref="C148:D148"/>
    <mergeCell ref="H148:I148"/>
    <mergeCell ref="B150:M150"/>
    <mergeCell ref="C156:D156"/>
    <mergeCell ref="H156:I156"/>
    <mergeCell ref="C163:D163"/>
    <mergeCell ref="H163:I163"/>
    <mergeCell ref="B118:M118"/>
    <mergeCell ref="C123:D123"/>
    <mergeCell ref="H123:I123"/>
    <mergeCell ref="H131:I131"/>
    <mergeCell ref="C133:D133"/>
    <mergeCell ref="H133:I133"/>
    <mergeCell ref="B104:D104"/>
    <mergeCell ref="C105:D105"/>
    <mergeCell ref="H105:I105"/>
    <mergeCell ref="B107:M107"/>
    <mergeCell ref="C116:D116"/>
    <mergeCell ref="H116:I116"/>
    <mergeCell ref="F103:G103"/>
    <mergeCell ref="C23:D23"/>
    <mergeCell ref="H23:I23"/>
    <mergeCell ref="C34:D34"/>
    <mergeCell ref="H34:I34"/>
    <mergeCell ref="H43:I43"/>
    <mergeCell ref="C55:D55"/>
    <mergeCell ref="H55:I55"/>
    <mergeCell ref="C67:D67"/>
    <mergeCell ref="H67:I67"/>
    <mergeCell ref="H74:I74"/>
    <mergeCell ref="C96:D96"/>
    <mergeCell ref="H96:I96"/>
    <mergeCell ref="A1:P1"/>
    <mergeCell ref="C2:H2"/>
    <mergeCell ref="H9:I9"/>
    <mergeCell ref="C16:D16"/>
    <mergeCell ref="H16:I16"/>
  </mergeCells>
  <pageMargins left="0.55000000000000004" right="0.26" top="0.39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0000"/>
  </sheetPr>
  <dimension ref="A1:K43"/>
  <sheetViews>
    <sheetView topLeftCell="A10" workbookViewId="0">
      <selection activeCell="E14" sqref="E14"/>
    </sheetView>
  </sheetViews>
  <sheetFormatPr defaultRowHeight="16.5"/>
  <cols>
    <col min="1" max="1" width="4.5703125" style="384" customWidth="1"/>
    <col min="2" max="2" width="11.85546875" style="384" customWidth="1"/>
    <col min="3" max="3" width="4.28515625" style="384" customWidth="1"/>
    <col min="4" max="4" width="15.7109375" style="384" customWidth="1"/>
    <col min="5" max="5" width="4.85546875" style="384" customWidth="1"/>
    <col min="6" max="6" width="3.140625" style="384" customWidth="1"/>
    <col min="7" max="7" width="6" style="384" customWidth="1"/>
    <col min="8" max="8" width="11.85546875" style="384" customWidth="1"/>
    <col min="9" max="9" width="8.7109375" style="384" customWidth="1"/>
    <col min="10" max="10" width="6.140625" style="384" customWidth="1"/>
    <col min="11" max="11" width="10" style="384" customWidth="1"/>
    <col min="12" max="12" width="9.85546875" style="384" customWidth="1"/>
    <col min="13" max="13" width="7.5703125" style="384" customWidth="1"/>
    <col min="14" max="14" width="3.140625" style="384" customWidth="1"/>
    <col min="15" max="15" width="9.85546875" style="384" customWidth="1"/>
    <col min="16" max="16384" width="9.140625" style="384"/>
  </cols>
  <sheetData>
    <row r="1" spans="1:11">
      <c r="A1" s="391" t="s">
        <v>714</v>
      </c>
      <c r="H1" s="390"/>
      <c r="I1" s="393" t="s">
        <v>715</v>
      </c>
      <c r="J1" s="390" t="s">
        <v>402</v>
      </c>
      <c r="K1" s="397">
        <f>'CC Block'!O40</f>
        <v>1187530.5441999999</v>
      </c>
    </row>
    <row r="2" spans="1:11">
      <c r="A2" s="391"/>
      <c r="H2" s="390"/>
    </row>
    <row r="3" spans="1:11">
      <c r="A3" s="787">
        <v>1</v>
      </c>
      <c r="B3" s="384" t="s">
        <v>716</v>
      </c>
      <c r="E3" s="408">
        <f>'[3]Lead chart'!F15</f>
        <v>81</v>
      </c>
      <c r="F3" s="384" t="s">
        <v>717</v>
      </c>
    </row>
    <row r="4" spans="1:11">
      <c r="A4" s="787"/>
    </row>
    <row r="5" spans="1:11">
      <c r="A5" s="787"/>
      <c r="B5" s="403">
        <f>'Mater-2'!G8</f>
        <v>3476</v>
      </c>
      <c r="C5" s="390" t="s">
        <v>6</v>
      </c>
      <c r="D5" s="390"/>
      <c r="E5" s="390"/>
      <c r="F5" s="390"/>
      <c r="G5" s="396" t="s">
        <v>11</v>
      </c>
      <c r="H5" s="791">
        <f>'[3]Lead chart'!J19</f>
        <v>3213.96</v>
      </c>
      <c r="I5" s="390" t="s">
        <v>12</v>
      </c>
      <c r="J5" s="390" t="s">
        <v>5</v>
      </c>
      <c r="K5" s="397">
        <f>H5*B5/100</f>
        <v>111717.24960000001</v>
      </c>
    </row>
    <row r="6" spans="1:11">
      <c r="A6" s="787"/>
      <c r="K6" s="801"/>
    </row>
    <row r="7" spans="1:11">
      <c r="A7" s="787">
        <v>2</v>
      </c>
      <c r="B7" s="384" t="s">
        <v>718</v>
      </c>
      <c r="D7" s="787"/>
      <c r="E7" s="787">
        <f>'[3]Lead chart'!F21</f>
        <v>76</v>
      </c>
      <c r="K7" s="801"/>
    </row>
    <row r="8" spans="1:11">
      <c r="A8" s="787"/>
      <c r="K8" s="801"/>
    </row>
    <row r="9" spans="1:11">
      <c r="A9" s="787"/>
      <c r="B9" s="403">
        <f>[3]Material!H13</f>
        <v>0</v>
      </c>
      <c r="C9" s="390" t="s">
        <v>6</v>
      </c>
      <c r="D9" s="390"/>
      <c r="E9" s="390"/>
      <c r="F9" s="390"/>
      <c r="G9" s="396" t="str">
        <f>G5</f>
        <v xml:space="preserve"> @Rs</v>
      </c>
      <c r="H9" s="791">
        <f>'[3]Lead chart'!J25</f>
        <v>3051.1600000000003</v>
      </c>
      <c r="I9" s="390" t="str">
        <f>I5</f>
        <v>P%Cft</v>
      </c>
      <c r="J9" s="390" t="s">
        <v>5</v>
      </c>
      <c r="K9" s="397">
        <f>H9*B9/100</f>
        <v>0</v>
      </c>
    </row>
    <row r="10" spans="1:11">
      <c r="A10" s="787"/>
    </row>
    <row r="11" spans="1:11">
      <c r="A11" s="787">
        <v>3</v>
      </c>
      <c r="B11" s="384" t="s">
        <v>719</v>
      </c>
      <c r="E11" s="787">
        <f>'[3]Lead chart'!F9</f>
        <v>204</v>
      </c>
      <c r="F11" s="384" t="s">
        <v>720</v>
      </c>
    </row>
    <row r="12" spans="1:11">
      <c r="A12" s="787"/>
    </row>
    <row r="13" spans="1:11">
      <c r="A13" s="787"/>
      <c r="B13" s="403">
        <f>'Mater-2'!I8</f>
        <v>4240.7199999999993</v>
      </c>
      <c r="C13" s="390" t="s">
        <v>6</v>
      </c>
      <c r="D13" s="390"/>
      <c r="E13" s="390"/>
      <c r="F13" s="390"/>
      <c r="G13" s="396" t="str">
        <f>G9</f>
        <v xml:space="preserve"> @Rs</v>
      </c>
      <c r="H13" s="791">
        <f>'[3]Lead chart'!J13</f>
        <v>7218.84</v>
      </c>
      <c r="I13" s="390" t="s">
        <v>12</v>
      </c>
      <c r="J13" s="390" t="s">
        <v>5</v>
      </c>
      <c r="K13" s="397">
        <f>H13*B13/100</f>
        <v>306130.79164799995</v>
      </c>
    </row>
    <row r="14" spans="1:11">
      <c r="A14" s="787"/>
    </row>
    <row r="15" spans="1:11">
      <c r="A15" s="787">
        <v>4</v>
      </c>
      <c r="B15" s="384" t="s">
        <v>721</v>
      </c>
      <c r="F15" s="408"/>
      <c r="G15" s="408">
        <f>'[3]Lead chart'!F33</f>
        <v>202</v>
      </c>
      <c r="H15" s="384" t="s">
        <v>720</v>
      </c>
    </row>
    <row r="16" spans="1:11">
      <c r="A16" s="787"/>
    </row>
    <row r="17" spans="1:11">
      <c r="A17" s="787"/>
      <c r="B17" s="403">
        <f>'Mater-2'!J8</f>
        <v>1172.0440000000001</v>
      </c>
      <c r="C17" s="390" t="s">
        <v>722</v>
      </c>
      <c r="D17" s="390"/>
      <c r="E17" s="390"/>
      <c r="F17" s="390"/>
      <c r="G17" s="396" t="str">
        <f>G13</f>
        <v xml:space="preserve"> @Rs</v>
      </c>
      <c r="H17" s="791">
        <f>'[3]Lead chart'!J37</f>
        <v>127.53</v>
      </c>
      <c r="I17" s="390" t="s">
        <v>723</v>
      </c>
      <c r="J17" s="390" t="s">
        <v>5</v>
      </c>
      <c r="K17" s="397">
        <f>H17*B17</f>
        <v>149470.77132</v>
      </c>
    </row>
    <row r="18" spans="1:11">
      <c r="B18" s="403"/>
      <c r="C18" s="390"/>
      <c r="D18" s="390"/>
      <c r="E18" s="390"/>
      <c r="F18" s="390"/>
      <c r="G18" s="396"/>
      <c r="H18" s="393"/>
      <c r="I18" s="390"/>
      <c r="J18" s="431"/>
      <c r="K18" s="410"/>
    </row>
    <row r="19" spans="1:11">
      <c r="B19" s="404"/>
      <c r="G19" s="395"/>
      <c r="H19" s="408"/>
      <c r="K19" s="422"/>
    </row>
    <row r="20" spans="1:11">
      <c r="I20" s="417" t="s">
        <v>183</v>
      </c>
      <c r="J20" s="419" t="s">
        <v>5</v>
      </c>
      <c r="K20" s="413">
        <f>SUM(K1:K19)</f>
        <v>1754849.3567679999</v>
      </c>
    </row>
    <row r="21" spans="1:11" ht="29.25" customHeight="1"/>
    <row r="23" spans="1:11">
      <c r="A23" s="962" t="s">
        <v>730</v>
      </c>
      <c r="B23" s="962"/>
      <c r="C23" s="962"/>
      <c r="D23" s="962"/>
      <c r="F23" s="962" t="s">
        <v>731</v>
      </c>
      <c r="G23" s="962"/>
      <c r="H23" s="962"/>
      <c r="I23" s="962"/>
    </row>
    <row r="24" spans="1:11">
      <c r="A24" s="962" t="s">
        <v>334</v>
      </c>
      <c r="B24" s="962"/>
      <c r="C24" s="962"/>
      <c r="D24" s="962"/>
      <c r="E24" s="803"/>
      <c r="F24" s="962" t="s">
        <v>335</v>
      </c>
      <c r="G24" s="962"/>
      <c r="H24" s="962"/>
      <c r="I24" s="962"/>
    </row>
    <row r="25" spans="1:11">
      <c r="A25" s="962" t="s">
        <v>236</v>
      </c>
      <c r="B25" s="962"/>
      <c r="C25" s="962"/>
      <c r="D25" s="962"/>
      <c r="F25" s="962" t="s">
        <v>236</v>
      </c>
      <c r="G25" s="962"/>
      <c r="H25" s="962"/>
      <c r="I25" s="962"/>
    </row>
    <row r="43" spans="2:7">
      <c r="B43" s="404"/>
      <c r="C43" s="404"/>
      <c r="G43" s="404"/>
    </row>
  </sheetData>
  <mergeCells count="6">
    <mergeCell ref="A23:D23"/>
    <mergeCell ref="F23:I23"/>
    <mergeCell ref="A24:D24"/>
    <mergeCell ref="F24:I24"/>
    <mergeCell ref="A25:D25"/>
    <mergeCell ref="F25:I2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0000"/>
  </sheetPr>
  <dimension ref="A1:M21"/>
  <sheetViews>
    <sheetView workbookViewId="0">
      <selection activeCell="F10" sqref="F10"/>
    </sheetView>
  </sheetViews>
  <sheetFormatPr defaultRowHeight="16.5"/>
  <cols>
    <col min="1" max="3" width="9.140625" style="384"/>
    <col min="4" max="4" width="5.7109375" style="384" customWidth="1"/>
    <col min="5" max="5" width="8.42578125" style="384" customWidth="1"/>
    <col min="6" max="6" width="13.42578125" style="384" customWidth="1"/>
    <col min="7" max="7" width="13.140625" style="384" customWidth="1"/>
    <col min="8" max="8" width="12.140625" style="384" customWidth="1"/>
    <col min="9" max="9" width="14.85546875" style="384" customWidth="1"/>
    <col min="10" max="10" width="11.85546875" style="384" customWidth="1"/>
    <col min="11" max="16384" width="9.140625" style="384"/>
  </cols>
  <sheetData>
    <row r="1" spans="1:13">
      <c r="A1" s="1009" t="s">
        <v>732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3">
      <c r="B2" s="391"/>
    </row>
    <row r="3" spans="1:13">
      <c r="B3" s="391"/>
    </row>
    <row r="4" spans="1:13">
      <c r="A4" s="804" t="s">
        <v>341</v>
      </c>
      <c r="B4" s="983" t="s">
        <v>733</v>
      </c>
      <c r="C4" s="984"/>
      <c r="D4" s="984"/>
      <c r="E4" s="985"/>
      <c r="F4" s="804" t="s">
        <v>734</v>
      </c>
      <c r="G4" s="804" t="s">
        <v>735</v>
      </c>
      <c r="H4" s="804" t="s">
        <v>736</v>
      </c>
      <c r="I4" s="804" t="s">
        <v>737</v>
      </c>
      <c r="J4" s="804" t="s">
        <v>738</v>
      </c>
      <c r="K4" s="804" t="s">
        <v>739</v>
      </c>
      <c r="L4" s="805" t="s">
        <v>740</v>
      </c>
    </row>
    <row r="5" spans="1:13" ht="40.5" customHeight="1">
      <c r="A5" s="806">
        <v>1</v>
      </c>
      <c r="B5" s="1010" t="s">
        <v>749</v>
      </c>
      <c r="C5" s="1011"/>
      <c r="D5" s="1011"/>
      <c r="E5" s="1012"/>
      <c r="F5" s="807">
        <f>'CC Block'!B26</f>
        <v>5214</v>
      </c>
      <c r="G5" s="823">
        <v>0</v>
      </c>
      <c r="H5" s="807">
        <f>F5*96/100</f>
        <v>5005.4399999999996</v>
      </c>
      <c r="I5" s="807">
        <f>F5*48%</f>
        <v>2502.7199999999998</v>
      </c>
      <c r="J5" s="807">
        <f>F5*9.6/100</f>
        <v>500.54400000000004</v>
      </c>
      <c r="K5" s="823">
        <v>0</v>
      </c>
      <c r="L5" s="824">
        <v>0</v>
      </c>
    </row>
    <row r="6" spans="1:13" ht="40.5" customHeight="1">
      <c r="A6" s="806">
        <v>2</v>
      </c>
      <c r="B6" s="977" t="s">
        <v>750</v>
      </c>
      <c r="C6" s="978"/>
      <c r="D6" s="978"/>
      <c r="E6" s="979"/>
      <c r="F6" s="807">
        <f>'CC Block'!B33</f>
        <v>3950</v>
      </c>
      <c r="G6" s="807">
        <f>F6*88/100</f>
        <v>3476</v>
      </c>
      <c r="H6" s="823">
        <v>0</v>
      </c>
      <c r="I6" s="807">
        <f>F6*44/100</f>
        <v>1738</v>
      </c>
      <c r="J6" s="807">
        <f>F6*17/100</f>
        <v>671.5</v>
      </c>
      <c r="K6" s="823">
        <v>0</v>
      </c>
      <c r="L6" s="824">
        <v>0</v>
      </c>
    </row>
    <row r="7" spans="1:13" ht="40.5" customHeight="1">
      <c r="A7" s="816"/>
      <c r="B7" s="986"/>
      <c r="C7" s="987"/>
      <c r="D7" s="987"/>
      <c r="E7" s="988"/>
      <c r="F7" s="804" t="s">
        <v>183</v>
      </c>
      <c r="G7" s="817">
        <f>SUM(G5:G6)</f>
        <v>3476</v>
      </c>
      <c r="H7" s="817">
        <f>SUM(H5:H6)</f>
        <v>5005.4399999999996</v>
      </c>
      <c r="I7" s="817">
        <f>SUM(I5:I6)</f>
        <v>4240.7199999999993</v>
      </c>
      <c r="J7" s="817">
        <f>SUM(J5:J6)</f>
        <v>1172.0440000000001</v>
      </c>
      <c r="K7" s="825">
        <f>SUM(K5:K6)</f>
        <v>0</v>
      </c>
      <c r="L7" s="825">
        <v>0</v>
      </c>
    </row>
    <row r="8" spans="1:13" ht="40.5" customHeight="1">
      <c r="A8" s="816"/>
      <c r="B8" s="980"/>
      <c r="C8" s="981"/>
      <c r="D8" s="981"/>
      <c r="E8" s="982"/>
      <c r="F8" s="818" t="s">
        <v>34</v>
      </c>
      <c r="G8" s="819">
        <f t="shared" ref="G8:L8" si="0">SUM(G7)</f>
        <v>3476</v>
      </c>
      <c r="H8" s="819">
        <f t="shared" si="0"/>
        <v>5005.4399999999996</v>
      </c>
      <c r="I8" s="819">
        <f t="shared" si="0"/>
        <v>4240.7199999999993</v>
      </c>
      <c r="J8" s="819">
        <f t="shared" si="0"/>
        <v>1172.0440000000001</v>
      </c>
      <c r="K8" s="819">
        <f t="shared" si="0"/>
        <v>0</v>
      </c>
      <c r="L8" s="819">
        <f t="shared" si="0"/>
        <v>0</v>
      </c>
      <c r="M8" s="820"/>
    </row>
    <row r="9" spans="1:13">
      <c r="A9" s="411"/>
      <c r="B9" s="428"/>
      <c r="C9" s="428"/>
      <c r="D9" s="428"/>
      <c r="E9" s="428"/>
      <c r="F9" s="821"/>
      <c r="G9" s="822"/>
      <c r="H9" s="822"/>
      <c r="I9" s="822"/>
      <c r="J9" s="822"/>
      <c r="K9" s="822"/>
      <c r="L9" s="822"/>
    </row>
    <row r="10" spans="1:13">
      <c r="A10" s="411"/>
      <c r="B10" s="428"/>
      <c r="C10" s="976"/>
      <c r="D10" s="976"/>
      <c r="E10" s="976"/>
      <c r="F10" s="821"/>
      <c r="G10" s="822"/>
      <c r="H10" s="822"/>
      <c r="I10" s="822"/>
      <c r="J10" s="822"/>
      <c r="K10" s="822"/>
      <c r="L10" s="822"/>
    </row>
    <row r="11" spans="1:13">
      <c r="A11" s="411"/>
      <c r="B11" s="962"/>
      <c r="C11" s="962"/>
      <c r="D11" s="962"/>
      <c r="E11" s="962"/>
      <c r="F11" s="821"/>
      <c r="G11" s="821"/>
      <c r="H11" s="822"/>
      <c r="I11" s="822"/>
      <c r="J11" s="822"/>
      <c r="K11" s="822"/>
      <c r="L11" s="822"/>
    </row>
    <row r="12" spans="1:13">
      <c r="A12" s="962" t="s">
        <v>730</v>
      </c>
      <c r="B12" s="962"/>
      <c r="C12" s="962"/>
      <c r="D12" s="962"/>
      <c r="F12" s="821"/>
      <c r="G12" s="821"/>
      <c r="H12" s="826" t="str">
        <f>[3]Abstract!F19</f>
        <v>Executive Engineer.</v>
      </c>
      <c r="I12" s="826"/>
    </row>
    <row r="13" spans="1:13">
      <c r="A13" s="962" t="s">
        <v>334</v>
      </c>
      <c r="B13" s="962"/>
      <c r="C13" s="962"/>
      <c r="D13" s="962"/>
      <c r="E13" s="803"/>
      <c r="G13" s="962" t="s">
        <v>335</v>
      </c>
      <c r="H13" s="962"/>
      <c r="I13" s="962"/>
    </row>
    <row r="14" spans="1:13">
      <c r="A14" s="962" t="s">
        <v>236</v>
      </c>
      <c r="B14" s="962"/>
      <c r="C14" s="962"/>
      <c r="D14" s="962"/>
      <c r="F14" s="821"/>
      <c r="G14" s="821"/>
      <c r="H14" s="826" t="str">
        <f>[3]Abstract!F21</f>
        <v>Larkano</v>
      </c>
      <c r="I14" s="826"/>
    </row>
    <row r="15" spans="1:13">
      <c r="F15" s="821"/>
      <c r="G15" s="821"/>
    </row>
    <row r="17" spans="2:9">
      <c r="F17" s="962"/>
      <c r="G17" s="962"/>
    </row>
    <row r="18" spans="2:9">
      <c r="B18" s="962"/>
      <c r="C18" s="962"/>
      <c r="D18" s="962"/>
      <c r="E18" s="962"/>
      <c r="F18" s="962"/>
      <c r="G18" s="962"/>
      <c r="H18" s="962"/>
      <c r="I18" s="962"/>
    </row>
    <row r="19" spans="2:9">
      <c r="B19" s="962"/>
      <c r="C19" s="962"/>
      <c r="D19" s="962"/>
      <c r="E19" s="962"/>
      <c r="H19" s="962"/>
      <c r="I19" s="962"/>
    </row>
    <row r="20" spans="2:9">
      <c r="B20" s="962"/>
      <c r="C20" s="962"/>
      <c r="D20" s="962"/>
      <c r="E20" s="962"/>
      <c r="F20" s="962"/>
      <c r="G20" s="962"/>
      <c r="H20" s="962"/>
      <c r="I20" s="962"/>
    </row>
    <row r="21" spans="2:9">
      <c r="F21" s="962"/>
      <c r="G21" s="962"/>
    </row>
  </sheetData>
  <mergeCells count="20">
    <mergeCell ref="B20:E20"/>
    <mergeCell ref="F20:G21"/>
    <mergeCell ref="H20:I20"/>
    <mergeCell ref="C10:E10"/>
    <mergeCell ref="B11:E11"/>
    <mergeCell ref="A12:D12"/>
    <mergeCell ref="A13:D13"/>
    <mergeCell ref="G13:I13"/>
    <mergeCell ref="A14:D14"/>
    <mergeCell ref="F17:G18"/>
    <mergeCell ref="B18:E18"/>
    <mergeCell ref="H18:I18"/>
    <mergeCell ref="B19:E19"/>
    <mergeCell ref="H19:I19"/>
    <mergeCell ref="B8:E8"/>
    <mergeCell ref="A1:K1"/>
    <mergeCell ref="B4:E4"/>
    <mergeCell ref="B5:E5"/>
    <mergeCell ref="B6:E6"/>
    <mergeCell ref="B7:E7"/>
  </mergeCells>
  <pageMargins left="0.9" right="0.7" top="0.75" bottom="0.75" header="0.3" footer="0.3"/>
  <pageSetup paperSize="9" orientation="landscape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FF0000"/>
  </sheetPr>
  <dimension ref="A1:Q120"/>
  <sheetViews>
    <sheetView topLeftCell="A62" workbookViewId="0">
      <selection activeCell="G65" sqref="G65"/>
    </sheetView>
  </sheetViews>
  <sheetFormatPr defaultRowHeight="12.75"/>
  <cols>
    <col min="1" max="1" width="3" style="436" customWidth="1"/>
    <col min="2" max="2" width="11.42578125" customWidth="1"/>
    <col min="3" max="3" width="6" customWidth="1"/>
    <col min="4" max="4" width="2.85546875" customWidth="1"/>
    <col min="5" max="5" width="8.28515625" customWidth="1"/>
    <col min="6" max="6" width="4.5703125" customWidth="1"/>
    <col min="7" max="7" width="7.28515625" customWidth="1"/>
    <col min="8" max="8" width="2.42578125" customWidth="1"/>
    <col min="9" max="9" width="7" customWidth="1"/>
    <col min="10" max="10" width="2.85546875" customWidth="1"/>
    <col min="11" max="11" width="7.42578125" customWidth="1"/>
    <col min="12" max="12" width="9.7109375" customWidth="1"/>
    <col min="13" max="13" width="9.5703125" customWidth="1"/>
    <col min="14" max="14" width="3.28515625" customWidth="1"/>
    <col min="15" max="15" width="10" customWidth="1"/>
    <col min="17" max="17" width="9.140625" hidden="1" customWidth="1"/>
  </cols>
  <sheetData>
    <row r="1" spans="1:17" ht="48" customHeight="1">
      <c r="A1" s="1013" t="str">
        <f>BOQ!A3:O3</f>
        <v>(A)</v>
      </c>
      <c r="B1" s="1013"/>
      <c r="C1" s="1013"/>
      <c r="D1" s="1013"/>
      <c r="E1" s="1013"/>
      <c r="F1" s="1013"/>
      <c r="G1" s="1013"/>
      <c r="H1" s="1013"/>
      <c r="I1" s="1013"/>
      <c r="J1" s="1013"/>
      <c r="K1" s="1013"/>
      <c r="L1" s="1013"/>
      <c r="M1" s="1013"/>
      <c r="N1" s="1013"/>
      <c r="O1" s="1013"/>
    </row>
    <row r="2" spans="1:17">
      <c r="A2" s="1015" t="s">
        <v>757</v>
      </c>
      <c r="B2" s="1015"/>
      <c r="C2" s="1015"/>
      <c r="D2" s="1015"/>
      <c r="E2" s="1015"/>
      <c r="F2" s="1015"/>
      <c r="G2" s="1015"/>
      <c r="H2" s="1015"/>
      <c r="I2" s="1015"/>
      <c r="J2" s="1015"/>
      <c r="K2" s="1015"/>
      <c r="L2" s="1015"/>
      <c r="M2" s="1015"/>
      <c r="N2" s="1015"/>
      <c r="O2" s="1015"/>
    </row>
    <row r="3" spans="1:17">
      <c r="A3" s="444"/>
      <c r="B3" s="553"/>
      <c r="C3" s="553"/>
      <c r="D3" s="553"/>
      <c r="E3" s="553"/>
      <c r="F3" s="553"/>
      <c r="G3" s="553"/>
      <c r="H3" s="553"/>
      <c r="I3" s="553"/>
      <c r="J3" s="553"/>
      <c r="K3" s="553"/>
      <c r="L3" s="554"/>
      <c r="M3" s="555"/>
      <c r="N3" s="553"/>
      <c r="O3" s="553"/>
    </row>
    <row r="4" spans="1:17" ht="15">
      <c r="A4" s="436">
        <v>1</v>
      </c>
      <c r="B4" s="440" t="s">
        <v>36</v>
      </c>
      <c r="Q4" s="677" t="s">
        <v>618</v>
      </c>
    </row>
    <row r="5" spans="1:17" ht="15">
      <c r="C5">
        <v>1</v>
      </c>
      <c r="D5" t="s">
        <v>2</v>
      </c>
      <c r="E5" s="436">
        <v>1000</v>
      </c>
      <c r="F5" t="s">
        <v>2</v>
      </c>
      <c r="G5" s="440">
        <v>5.75</v>
      </c>
      <c r="H5" t="s">
        <v>2</v>
      </c>
      <c r="I5" s="132">
        <v>1.5</v>
      </c>
      <c r="J5" s="436" t="s">
        <v>3</v>
      </c>
      <c r="K5" s="436"/>
      <c r="L5" s="439">
        <f>I5*G5*E5*C5</f>
        <v>8625</v>
      </c>
      <c r="M5" s="6" t="s">
        <v>6</v>
      </c>
      <c r="Q5" s="677">
        <v>3950</v>
      </c>
    </row>
    <row r="6" spans="1:17" ht="18.75" customHeight="1">
      <c r="B6" s="946">
        <f>L5</f>
        <v>8625</v>
      </c>
      <c r="C6" s="946"/>
      <c r="D6" s="946"/>
      <c r="E6" s="946"/>
      <c r="F6" s="6" t="s">
        <v>6</v>
      </c>
      <c r="G6" s="6"/>
      <c r="H6" s="6"/>
      <c r="I6" s="6" t="s">
        <v>15</v>
      </c>
      <c r="J6" s="6"/>
      <c r="K6" s="443" t="s">
        <v>19</v>
      </c>
      <c r="L6" s="27">
        <v>605</v>
      </c>
      <c r="M6" s="6" t="s">
        <v>12</v>
      </c>
      <c r="N6" s="6" t="s">
        <v>16</v>
      </c>
      <c r="O6" s="28">
        <f>B6*L6/100</f>
        <v>52181.25</v>
      </c>
    </row>
    <row r="7" spans="1:17">
      <c r="K7" s="439"/>
      <c r="L7" s="13"/>
    </row>
    <row r="8" spans="1:17">
      <c r="A8" s="436">
        <v>2</v>
      </c>
      <c r="B8" t="s">
        <v>37</v>
      </c>
      <c r="K8" s="439"/>
      <c r="L8" s="13"/>
    </row>
    <row r="9" spans="1:17">
      <c r="B9" t="s">
        <v>20</v>
      </c>
      <c r="K9" s="439"/>
      <c r="L9" s="13"/>
    </row>
    <row r="10" spans="1:17">
      <c r="C10">
        <v>50</v>
      </c>
      <c r="D10" t="s">
        <v>2</v>
      </c>
      <c r="E10" s="438">
        <v>8</v>
      </c>
      <c r="F10" t="s">
        <v>2</v>
      </c>
      <c r="G10" s="13">
        <v>2.5</v>
      </c>
      <c r="H10" t="s">
        <v>2</v>
      </c>
      <c r="I10" s="440">
        <v>0.75</v>
      </c>
      <c r="J10" s="436" t="s">
        <v>21</v>
      </c>
      <c r="K10" s="436"/>
      <c r="L10" s="439">
        <f>C10*E10*G10*I10</f>
        <v>750</v>
      </c>
      <c r="M10" s="27" t="s">
        <v>6</v>
      </c>
    </row>
    <row r="11" spans="1:17" ht="17.25" customHeight="1">
      <c r="B11" s="946">
        <f>L10</f>
        <v>750</v>
      </c>
      <c r="C11" s="946"/>
      <c r="D11" s="946"/>
      <c r="E11" s="946"/>
      <c r="F11" s="6" t="s">
        <v>6</v>
      </c>
      <c r="K11" s="439" t="str">
        <f>K6</f>
        <v xml:space="preserve"> @ Rs:</v>
      </c>
      <c r="L11" s="13">
        <v>1285.6300000000001</v>
      </c>
      <c r="M11" t="str">
        <f>M6</f>
        <v>P%Cft</v>
      </c>
      <c r="N11" t="s">
        <v>16</v>
      </c>
      <c r="O11" s="10">
        <f>B11*L11/100</f>
        <v>9642.2250000000004</v>
      </c>
    </row>
    <row r="12" spans="1:17">
      <c r="E12" t="s">
        <v>15</v>
      </c>
      <c r="K12" s="439"/>
      <c r="L12" s="13"/>
    </row>
    <row r="13" spans="1:17">
      <c r="A13" s="436">
        <v>3</v>
      </c>
      <c r="B13" t="s">
        <v>38</v>
      </c>
      <c r="K13" s="439"/>
      <c r="L13" s="13"/>
    </row>
    <row r="14" spans="1:17">
      <c r="B14" t="s">
        <v>22</v>
      </c>
      <c r="C14" s="436">
        <v>40</v>
      </c>
      <c r="D14" t="s">
        <v>2</v>
      </c>
      <c r="E14" s="438">
        <v>5</v>
      </c>
      <c r="F14" s="436" t="s">
        <v>2</v>
      </c>
      <c r="G14" s="796">
        <v>3</v>
      </c>
      <c r="H14" s="436" t="s">
        <v>2</v>
      </c>
      <c r="I14" s="435">
        <v>0.5</v>
      </c>
      <c r="J14" s="436" t="str">
        <f>J10</f>
        <v>=</v>
      </c>
      <c r="K14" s="436"/>
      <c r="L14" s="439">
        <f>C14*E14*G14*I14</f>
        <v>300</v>
      </c>
      <c r="M14" s="27" t="s">
        <v>6</v>
      </c>
    </row>
    <row r="15" spans="1:17" ht="21" customHeight="1">
      <c r="B15" s="946">
        <f>L14</f>
        <v>300</v>
      </c>
      <c r="C15" s="946"/>
      <c r="D15" s="946"/>
      <c r="E15" s="946"/>
      <c r="F15" s="6" t="s">
        <v>6</v>
      </c>
      <c r="K15" s="439" t="str">
        <f>K11</f>
        <v xml:space="preserve"> @ Rs:</v>
      </c>
      <c r="L15" s="13">
        <v>3327.5</v>
      </c>
      <c r="M15" t="str">
        <f>M11</f>
        <v>P%Cft</v>
      </c>
      <c r="N15" t="str">
        <f>N11</f>
        <v>Rs:</v>
      </c>
      <c r="O15" s="10">
        <f>B15*L15/100</f>
        <v>9982.5</v>
      </c>
    </row>
    <row r="16" spans="1:17">
      <c r="K16" s="439"/>
      <c r="L16" s="13"/>
      <c r="O16" s="440"/>
    </row>
    <row r="17" spans="1:15">
      <c r="A17" s="436">
        <v>4</v>
      </c>
      <c r="B17" t="s">
        <v>23</v>
      </c>
      <c r="K17" s="439"/>
      <c r="L17" s="13"/>
    </row>
    <row r="18" spans="1:15">
      <c r="B18" t="s">
        <v>282</v>
      </c>
      <c r="K18" s="439"/>
      <c r="L18" s="13"/>
    </row>
    <row r="19" spans="1:15" ht="19.5" customHeight="1">
      <c r="B19" t="s">
        <v>25</v>
      </c>
      <c r="C19">
        <v>30</v>
      </c>
      <c r="D19" t="s">
        <v>2</v>
      </c>
      <c r="E19" s="438">
        <v>10</v>
      </c>
      <c r="F19" s="436" t="s">
        <v>2</v>
      </c>
      <c r="G19" s="796">
        <v>3</v>
      </c>
      <c r="H19" t="s">
        <v>2</v>
      </c>
      <c r="I19" s="13">
        <v>0.5</v>
      </c>
      <c r="J19" s="436" t="s">
        <v>21</v>
      </c>
      <c r="K19" s="436"/>
      <c r="L19" s="439">
        <f>C19*E19*G19*I19</f>
        <v>450</v>
      </c>
      <c r="M19" s="27" t="s">
        <v>6</v>
      </c>
    </row>
    <row r="20" spans="1:15" ht="19.5" customHeight="1">
      <c r="B20" s="946">
        <f>L19</f>
        <v>450</v>
      </c>
      <c r="C20" s="946"/>
      <c r="D20" s="946"/>
      <c r="E20" s="946"/>
      <c r="F20" s="6" t="s">
        <v>6</v>
      </c>
      <c r="K20" s="439" t="str">
        <f>K15</f>
        <v xml:space="preserve"> @ Rs:</v>
      </c>
      <c r="L20" s="13">
        <v>5445</v>
      </c>
      <c r="M20" t="str">
        <f>M15</f>
        <v>P%Cft</v>
      </c>
      <c r="N20" t="str">
        <f>N15</f>
        <v>Rs:</v>
      </c>
      <c r="O20" s="10">
        <f>B20*L20/100</f>
        <v>24502.5</v>
      </c>
    </row>
    <row r="21" spans="1:15">
      <c r="K21" s="439"/>
      <c r="L21" s="13"/>
    </row>
    <row r="22" spans="1:15" ht="15.75">
      <c r="A22" s="436">
        <v>5</v>
      </c>
      <c r="B22" s="7" t="s">
        <v>79</v>
      </c>
      <c r="C22" s="19"/>
      <c r="D22" s="19"/>
      <c r="E22" s="19"/>
      <c r="K22" s="439"/>
      <c r="L22" s="13"/>
    </row>
    <row r="23" spans="1:15" ht="15.75">
      <c r="B23" s="7" t="s">
        <v>80</v>
      </c>
      <c r="K23" s="439"/>
      <c r="L23" s="13"/>
    </row>
    <row r="24" spans="1:15" ht="15.75">
      <c r="B24" s="7" t="s">
        <v>81</v>
      </c>
      <c r="K24" s="439"/>
      <c r="L24" s="13"/>
    </row>
    <row r="25" spans="1:15" ht="15.75">
      <c r="B25" s="7" t="s">
        <v>82</v>
      </c>
      <c r="K25" s="439"/>
      <c r="L25" s="13"/>
    </row>
    <row r="26" spans="1:15" ht="15.75">
      <c r="B26" s="7" t="s">
        <v>83</v>
      </c>
      <c r="K26" s="439"/>
      <c r="L26" s="13"/>
    </row>
    <row r="27" spans="1:15" ht="15.75">
      <c r="B27" s="7" t="s">
        <v>84</v>
      </c>
      <c r="K27" s="439"/>
      <c r="L27" s="13"/>
    </row>
    <row r="28" spans="1:15" ht="15.75">
      <c r="B28" s="7" t="s">
        <v>129</v>
      </c>
      <c r="K28" s="439"/>
      <c r="L28" s="13"/>
    </row>
    <row r="29" spans="1:15" ht="18" customHeight="1">
      <c r="C29">
        <v>1</v>
      </c>
      <c r="D29" t="s">
        <v>2</v>
      </c>
      <c r="E29">
        <v>1600</v>
      </c>
      <c r="F29" t="s">
        <v>2</v>
      </c>
      <c r="G29" s="795">
        <f>G5</f>
        <v>5.75</v>
      </c>
      <c r="H29" t="s">
        <v>2</v>
      </c>
      <c r="I29" s="794">
        <v>4</v>
      </c>
      <c r="J29" s="436" t="str">
        <f>J19</f>
        <v>=</v>
      </c>
      <c r="K29" s="436"/>
      <c r="L29" s="439">
        <f>C29*E29*G29*I29</f>
        <v>36800</v>
      </c>
      <c r="M29" s="27" t="s">
        <v>6</v>
      </c>
    </row>
    <row r="30" spans="1:15" ht="21" customHeight="1">
      <c r="B30" s="946">
        <f>L29</f>
        <v>36800</v>
      </c>
      <c r="C30" s="946"/>
      <c r="D30" s="946"/>
      <c r="E30" s="946"/>
      <c r="F30" s="6" t="s">
        <v>6</v>
      </c>
      <c r="K30" s="439" t="str">
        <f>K20</f>
        <v xml:space="preserve"> @ Rs:</v>
      </c>
      <c r="L30" s="13">
        <v>3600</v>
      </c>
      <c r="M30" t="s">
        <v>1</v>
      </c>
      <c r="N30" t="s">
        <v>16</v>
      </c>
      <c r="O30" s="10">
        <f>B30*L30/1000</f>
        <v>132480</v>
      </c>
    </row>
    <row r="31" spans="1:15">
      <c r="K31" s="439"/>
      <c r="L31" s="13"/>
    </row>
    <row r="32" spans="1:15" ht="15.75">
      <c r="A32" s="436">
        <v>6</v>
      </c>
      <c r="B32" s="7" t="s">
        <v>87</v>
      </c>
      <c r="K32" s="439"/>
      <c r="L32" s="13"/>
    </row>
    <row r="33" spans="1:15" ht="15.75">
      <c r="B33" s="7" t="s">
        <v>80</v>
      </c>
      <c r="K33" s="439"/>
      <c r="L33" s="13"/>
    </row>
    <row r="34" spans="1:15" ht="15.75">
      <c r="B34" s="7" t="s">
        <v>81</v>
      </c>
      <c r="K34" s="439"/>
      <c r="L34" s="13"/>
    </row>
    <row r="35" spans="1:15" ht="15.75">
      <c r="B35" s="7" t="s">
        <v>82</v>
      </c>
      <c r="K35" s="439"/>
      <c r="L35" s="13"/>
    </row>
    <row r="36" spans="1:15" ht="15.75">
      <c r="B36" s="7" t="s">
        <v>83</v>
      </c>
      <c r="K36" s="439"/>
      <c r="L36" s="13"/>
    </row>
    <row r="37" spans="1:15" ht="15.75">
      <c r="B37" s="7" t="s">
        <v>84</v>
      </c>
      <c r="K37" s="439"/>
      <c r="L37" s="13"/>
    </row>
    <row r="38" spans="1:15" ht="15.75">
      <c r="B38" s="7" t="s">
        <v>130</v>
      </c>
      <c r="K38" s="439"/>
      <c r="L38" s="13"/>
    </row>
    <row r="39" spans="1:15" ht="20.25" customHeight="1">
      <c r="C39">
        <f>C29</f>
        <v>1</v>
      </c>
      <c r="D39" t="s">
        <v>2</v>
      </c>
      <c r="E39">
        <f>E29</f>
        <v>1600</v>
      </c>
      <c r="F39" t="s">
        <v>2</v>
      </c>
      <c r="G39" s="795">
        <f>G29</f>
        <v>5.75</v>
      </c>
      <c r="H39" t="s">
        <v>2</v>
      </c>
      <c r="I39" s="438">
        <v>1.5</v>
      </c>
      <c r="J39" s="436" t="s">
        <v>21</v>
      </c>
      <c r="K39" s="436"/>
      <c r="L39" s="439">
        <f>C39*E39*G39*I39</f>
        <v>13800</v>
      </c>
      <c r="M39" s="27" t="s">
        <v>6</v>
      </c>
    </row>
    <row r="40" spans="1:15" ht="21" customHeight="1">
      <c r="B40" s="946">
        <f>L39</f>
        <v>13800</v>
      </c>
      <c r="C40" s="946"/>
      <c r="D40" s="946"/>
      <c r="E40" s="946"/>
      <c r="F40" s="6" t="s">
        <v>6</v>
      </c>
      <c r="K40" s="439" t="str">
        <f>K30</f>
        <v xml:space="preserve"> @ Rs:</v>
      </c>
      <c r="L40" s="13">
        <v>5400</v>
      </c>
      <c r="M40" t="str">
        <f>M30</f>
        <v>P%0Cft</v>
      </c>
      <c r="N40" t="s">
        <v>16</v>
      </c>
      <c r="O40" s="10">
        <f>B40*L40/1000</f>
        <v>74520</v>
      </c>
    </row>
    <row r="41" spans="1:15">
      <c r="K41" s="439"/>
      <c r="L41" s="13"/>
    </row>
    <row r="42" spans="1:15">
      <c r="A42" s="795"/>
      <c r="K42" s="800"/>
      <c r="L42" s="13"/>
    </row>
    <row r="43" spans="1:15">
      <c r="A43" s="795"/>
      <c r="K43" s="800"/>
      <c r="L43" s="13"/>
    </row>
    <row r="44" spans="1:15">
      <c r="A44" s="795"/>
      <c r="K44" s="800"/>
      <c r="L44" s="13"/>
    </row>
    <row r="45" spans="1:15" ht="15.75">
      <c r="A45" s="436">
        <v>7</v>
      </c>
      <c r="B45" s="7" t="s">
        <v>92</v>
      </c>
      <c r="K45" s="439"/>
      <c r="L45" s="13"/>
    </row>
    <row r="46" spans="1:15" ht="15.75">
      <c r="B46" s="7" t="s">
        <v>268</v>
      </c>
      <c r="K46" s="439"/>
      <c r="L46" s="13"/>
    </row>
    <row r="47" spans="1:15" s="43" customFormat="1" ht="21" customHeight="1">
      <c r="A47" s="169"/>
      <c r="C47" s="43">
        <v>2</v>
      </c>
      <c r="D47" s="43" t="s">
        <v>2</v>
      </c>
      <c r="E47" s="43">
        <f>E39</f>
        <v>1600</v>
      </c>
      <c r="F47" s="43" t="s">
        <v>2</v>
      </c>
      <c r="G47" s="170">
        <v>0.5</v>
      </c>
      <c r="H47" s="43" t="s">
        <v>2</v>
      </c>
      <c r="I47" s="171">
        <v>5</v>
      </c>
      <c r="J47" s="169" t="str">
        <f>J39</f>
        <v>=</v>
      </c>
      <c r="K47" s="169"/>
      <c r="L47" s="797">
        <f>C47*E47*G47*I47</f>
        <v>8000</v>
      </c>
      <c r="M47" s="839" t="s">
        <v>6</v>
      </c>
    </row>
    <row r="48" spans="1:15" ht="22.5" customHeight="1">
      <c r="B48" s="1016">
        <f>L47</f>
        <v>8000</v>
      </c>
      <c r="C48" s="1016"/>
      <c r="D48" s="1016"/>
      <c r="E48" s="1016"/>
      <c r="F48" s="6" t="s">
        <v>6</v>
      </c>
      <c r="K48" s="439" t="str">
        <f>K40</f>
        <v xml:space="preserve"> @ Rs:</v>
      </c>
      <c r="L48" s="13">
        <v>2760</v>
      </c>
      <c r="M48" t="str">
        <f>M40</f>
        <v>P%0Cft</v>
      </c>
      <c r="N48" t="s">
        <v>16</v>
      </c>
      <c r="O48" s="10">
        <f>B48*L48/1000</f>
        <v>22080</v>
      </c>
    </row>
    <row r="49" spans="1:15">
      <c r="K49" s="439"/>
      <c r="L49" s="13"/>
    </row>
    <row r="50" spans="1:15">
      <c r="A50" s="436">
        <v>8</v>
      </c>
      <c r="B50" t="s">
        <v>473</v>
      </c>
      <c r="K50" s="439"/>
      <c r="L50" s="13"/>
    </row>
    <row r="51" spans="1:15">
      <c r="B51" t="s">
        <v>474</v>
      </c>
      <c r="K51" s="439"/>
      <c r="L51" s="13"/>
    </row>
    <row r="52" spans="1:15">
      <c r="B52" t="s">
        <v>475</v>
      </c>
      <c r="C52">
        <v>1100</v>
      </c>
      <c r="D52" t="s">
        <v>30</v>
      </c>
      <c r="E52">
        <v>100</v>
      </c>
      <c r="F52" t="s">
        <v>21</v>
      </c>
      <c r="G52" s="675">
        <f>C52-E52</f>
        <v>1000</v>
      </c>
      <c r="H52" s="556" t="s">
        <v>181</v>
      </c>
      <c r="I52">
        <v>50</v>
      </c>
      <c r="J52" t="s">
        <v>21</v>
      </c>
      <c r="K52" s="136">
        <f>G52/I52</f>
        <v>20</v>
      </c>
      <c r="L52" s="13"/>
    </row>
    <row r="53" spans="1:15" ht="17.25" customHeight="1">
      <c r="C53" s="436">
        <v>20</v>
      </c>
      <c r="D53" t="s">
        <v>2</v>
      </c>
      <c r="E53" s="2">
        <v>100.78</v>
      </c>
      <c r="F53" t="s">
        <v>476</v>
      </c>
      <c r="H53" t="s">
        <v>21</v>
      </c>
      <c r="J53" s="1017">
        <f>C53*100.78</f>
        <v>2015.6</v>
      </c>
      <c r="K53" s="1017"/>
      <c r="L53" s="13"/>
    </row>
    <row r="54" spans="1:15">
      <c r="B54" t="s">
        <v>477</v>
      </c>
      <c r="C54" t="s">
        <v>478</v>
      </c>
      <c r="L54" s="439">
        <f>B6+B11+B15+B20+B30+B40</f>
        <v>60725</v>
      </c>
      <c r="M54" s="27" t="s">
        <v>6</v>
      </c>
    </row>
    <row r="55" spans="1:15" ht="15" customHeight="1">
      <c r="B55" t="s">
        <v>33</v>
      </c>
      <c r="C55" t="s">
        <v>479</v>
      </c>
      <c r="L55" s="439">
        <f>B48</f>
        <v>8000</v>
      </c>
      <c r="M55" s="27" t="s">
        <v>6</v>
      </c>
    </row>
    <row r="56" spans="1:15" ht="19.5" customHeight="1">
      <c r="B56" t="s">
        <v>480</v>
      </c>
      <c r="L56" s="445">
        <f>L54-L55</f>
        <v>52725</v>
      </c>
      <c r="M56" s="27" t="s">
        <v>6</v>
      </c>
    </row>
    <row r="57" spans="1:15" ht="25.5" customHeight="1">
      <c r="B57" s="946">
        <f>L56</f>
        <v>52725</v>
      </c>
      <c r="C57" s="946"/>
      <c r="D57" s="946"/>
      <c r="E57" s="946"/>
      <c r="F57" s="6" t="s">
        <v>6</v>
      </c>
      <c r="K57" s="439" t="str">
        <f>K48</f>
        <v xml:space="preserve"> @ Rs:</v>
      </c>
      <c r="L57" s="13">
        <f>J53</f>
        <v>2015.6</v>
      </c>
      <c r="M57" t="s">
        <v>27</v>
      </c>
      <c r="N57" t="s">
        <v>16</v>
      </c>
      <c r="O57" s="10">
        <f>B57*L57/1000</f>
        <v>106272.51</v>
      </c>
    </row>
    <row r="58" spans="1:15">
      <c r="K58" s="439"/>
      <c r="L58" s="13"/>
    </row>
    <row r="59" spans="1:15" ht="15.75">
      <c r="A59" s="436">
        <v>9</v>
      </c>
      <c r="B59" s="7" t="s">
        <v>303</v>
      </c>
      <c r="K59" s="439"/>
      <c r="L59" s="13"/>
    </row>
    <row r="60" spans="1:15" ht="15.75">
      <c r="B60" s="7" t="s">
        <v>304</v>
      </c>
      <c r="K60" s="439"/>
      <c r="L60" s="13"/>
    </row>
    <row r="61" spans="1:15" ht="15.75">
      <c r="B61" s="7" t="s">
        <v>305</v>
      </c>
      <c r="K61" s="439"/>
      <c r="L61" s="13"/>
    </row>
    <row r="62" spans="1:15" ht="15.75">
      <c r="A62" s="436" t="s">
        <v>481</v>
      </c>
      <c r="B62" s="7" t="s">
        <v>482</v>
      </c>
      <c r="C62">
        <v>1</v>
      </c>
      <c r="D62" t="s">
        <v>2</v>
      </c>
      <c r="E62" s="795">
        <f>E47</f>
        <v>1600</v>
      </c>
      <c r="F62" t="s">
        <v>2</v>
      </c>
      <c r="G62" s="674">
        <v>5.75</v>
      </c>
      <c r="H62" t="s">
        <v>2</v>
      </c>
      <c r="I62" s="794">
        <v>0.5</v>
      </c>
      <c r="J62" s="436" t="str">
        <f>J47</f>
        <v>=</v>
      </c>
      <c r="K62" s="436"/>
      <c r="L62" s="439">
        <f>C62*E62*G62*I62</f>
        <v>4600</v>
      </c>
      <c r="M62" s="27" t="s">
        <v>6</v>
      </c>
    </row>
    <row r="63" spans="1:15" ht="18" customHeight="1">
      <c r="B63" s="946">
        <f>L62</f>
        <v>4600</v>
      </c>
      <c r="C63" s="946"/>
      <c r="D63" s="946"/>
      <c r="E63" s="946"/>
      <c r="F63" s="6" t="s">
        <v>6</v>
      </c>
      <c r="I63" s="795"/>
      <c r="K63" s="439" t="str">
        <f>K57</f>
        <v xml:space="preserve"> @ Rs:</v>
      </c>
      <c r="L63" s="13">
        <v>11288.75</v>
      </c>
      <c r="M63" t="str">
        <f>M57</f>
        <v>P% Cft</v>
      </c>
      <c r="N63" t="s">
        <v>16</v>
      </c>
      <c r="O63" s="10">
        <f>B63*L63/100</f>
        <v>519282.5</v>
      </c>
    </row>
    <row r="64" spans="1:15">
      <c r="I64" s="795"/>
      <c r="K64" s="439"/>
      <c r="L64" s="13"/>
    </row>
    <row r="65" spans="1:15" ht="15.75">
      <c r="A65" s="436" t="s">
        <v>483</v>
      </c>
      <c r="B65" s="7" t="s">
        <v>484</v>
      </c>
      <c r="I65" s="795"/>
      <c r="K65" s="439"/>
      <c r="L65" s="13"/>
    </row>
    <row r="66" spans="1:15">
      <c r="C66">
        <v>1</v>
      </c>
      <c r="D66" t="s">
        <v>2</v>
      </c>
      <c r="E66" s="795">
        <f>E62</f>
        <v>1600</v>
      </c>
      <c r="F66" t="s">
        <v>2</v>
      </c>
      <c r="G66" s="794">
        <v>3.25</v>
      </c>
      <c r="H66" t="s">
        <v>2</v>
      </c>
      <c r="I66" s="794">
        <v>1.25</v>
      </c>
      <c r="J66" s="795" t="s">
        <v>21</v>
      </c>
      <c r="K66" s="795"/>
      <c r="L66" s="800">
        <f>C66*E66*G66*I66</f>
        <v>6500</v>
      </c>
    </row>
    <row r="67" spans="1:15" ht="15.75">
      <c r="B67" s="7" t="s">
        <v>35</v>
      </c>
      <c r="C67">
        <v>0.5</v>
      </c>
      <c r="D67" t="s">
        <v>2</v>
      </c>
      <c r="E67">
        <v>0.78500000000000003</v>
      </c>
      <c r="F67" t="s">
        <v>2</v>
      </c>
      <c r="G67" s="794">
        <v>2.5</v>
      </c>
      <c r="H67" t="s">
        <v>2</v>
      </c>
      <c r="I67" s="794">
        <f>G67</f>
        <v>2.5</v>
      </c>
      <c r="J67" s="795" t="s">
        <v>2</v>
      </c>
      <c r="K67" s="36">
        <v>1600</v>
      </c>
      <c r="L67" s="840">
        <f>C67*E67*G67*I67*K67</f>
        <v>3925</v>
      </c>
    </row>
    <row r="68" spans="1:15">
      <c r="K68" s="85"/>
      <c r="L68" s="85">
        <f>L66-L67</f>
        <v>2575</v>
      </c>
    </row>
    <row r="69" spans="1:15">
      <c r="C69" s="436"/>
      <c r="K69" s="439"/>
      <c r="L69" s="13"/>
    </row>
    <row r="70" spans="1:15" ht="18.75" customHeight="1">
      <c r="B70" s="946">
        <f>L68</f>
        <v>2575</v>
      </c>
      <c r="C70" s="947"/>
      <c r="D70" s="947"/>
      <c r="E70" s="947"/>
      <c r="F70" s="6" t="s">
        <v>6</v>
      </c>
      <c r="K70" s="439" t="str">
        <f>K63</f>
        <v xml:space="preserve"> @ Rs:</v>
      </c>
      <c r="L70" s="13">
        <v>14429.25</v>
      </c>
      <c r="M70" t="str">
        <f>M63</f>
        <v>P% Cft</v>
      </c>
      <c r="N70" t="s">
        <v>16</v>
      </c>
      <c r="O70" s="10">
        <f>B70*L70/100</f>
        <v>371553.1875</v>
      </c>
    </row>
    <row r="71" spans="1:15">
      <c r="K71" s="439"/>
      <c r="L71" s="13"/>
    </row>
    <row r="72" spans="1:15" ht="15.75">
      <c r="A72" s="436">
        <v>10</v>
      </c>
      <c r="B72" s="7" t="s">
        <v>486</v>
      </c>
      <c r="K72" s="439"/>
      <c r="L72" s="13"/>
    </row>
    <row r="73" spans="1:15" ht="15.75">
      <c r="B73" s="7" t="s">
        <v>487</v>
      </c>
      <c r="K73" s="439"/>
      <c r="L73" s="13"/>
    </row>
    <row r="74" spans="1:15">
      <c r="B74" s="49" t="s">
        <v>488</v>
      </c>
      <c r="J74" s="436"/>
      <c r="K74" s="439"/>
      <c r="L74" s="13"/>
    </row>
    <row r="75" spans="1:15" ht="15.75">
      <c r="B75" s="7" t="s">
        <v>489</v>
      </c>
      <c r="C75">
        <v>0.5</v>
      </c>
      <c r="D75" s="6" t="s">
        <v>2</v>
      </c>
      <c r="E75">
        <v>1</v>
      </c>
      <c r="F75" t="s">
        <v>2</v>
      </c>
      <c r="G75">
        <v>3.14</v>
      </c>
      <c r="H75" t="s">
        <v>2</v>
      </c>
      <c r="I75" s="2">
        <v>2.5</v>
      </c>
      <c r="J75" s="448" t="s">
        <v>2</v>
      </c>
      <c r="K75" s="443">
        <v>1600</v>
      </c>
      <c r="L75" s="27" t="s">
        <v>21</v>
      </c>
      <c r="M75" s="2">
        <f>C75*E75*G75*I75*K75</f>
        <v>6280</v>
      </c>
      <c r="N75" s="6" t="s">
        <v>8</v>
      </c>
    </row>
    <row r="76" spans="1:15" ht="15.75">
      <c r="B76" s="7"/>
      <c r="D76" s="6"/>
      <c r="I76" s="2"/>
      <c r="J76" s="448"/>
      <c r="K76" s="50"/>
      <c r="L76" s="27"/>
      <c r="M76" s="2">
        <f>SUM(M75:M75)</f>
        <v>6280</v>
      </c>
      <c r="N76" s="6" t="s">
        <v>8</v>
      </c>
    </row>
    <row r="77" spans="1:15" ht="18.75" customHeight="1">
      <c r="B77" s="946">
        <f>M76</f>
        <v>6280</v>
      </c>
      <c r="C77" s="947"/>
      <c r="D77" s="947"/>
      <c r="E77" s="947"/>
      <c r="F77" s="6" t="s">
        <v>8</v>
      </c>
      <c r="K77" s="443" t="s">
        <v>17</v>
      </c>
      <c r="L77" s="13">
        <v>3127.41</v>
      </c>
      <c r="M77" s="6" t="s">
        <v>7</v>
      </c>
      <c r="N77" t="s">
        <v>16</v>
      </c>
      <c r="O77" s="10">
        <f>B77*L77/100</f>
        <v>196401.348</v>
      </c>
    </row>
    <row r="78" spans="1:15">
      <c r="K78" s="439"/>
      <c r="L78" s="13"/>
    </row>
    <row r="79" spans="1:15">
      <c r="A79" s="436">
        <v>11</v>
      </c>
      <c r="B79" s="225" t="s">
        <v>308</v>
      </c>
      <c r="C79" s="133"/>
      <c r="D79" s="133"/>
      <c r="E79" s="133"/>
      <c r="F79" s="133"/>
      <c r="G79" s="133"/>
      <c r="H79" s="133"/>
      <c r="I79" s="133"/>
      <c r="J79" s="133"/>
      <c r="K79" s="557"/>
      <c r="L79" s="13"/>
    </row>
    <row r="80" spans="1:15">
      <c r="B80" t="s">
        <v>309</v>
      </c>
      <c r="K80" s="439"/>
      <c r="L80" s="13"/>
    </row>
    <row r="81" spans="1:15">
      <c r="B81" t="s">
        <v>310</v>
      </c>
      <c r="K81" s="439"/>
      <c r="L81" s="13"/>
    </row>
    <row r="82" spans="1:15">
      <c r="B82" t="s">
        <v>311</v>
      </c>
      <c r="K82" s="439"/>
      <c r="L82" s="13"/>
    </row>
    <row r="83" spans="1:15">
      <c r="B83" t="s">
        <v>312</v>
      </c>
      <c r="K83" s="439"/>
      <c r="L83" s="13"/>
    </row>
    <row r="84" spans="1:15">
      <c r="B84" t="s">
        <v>313</v>
      </c>
      <c r="K84" s="439"/>
      <c r="L84" s="13"/>
    </row>
    <row r="85" spans="1:15" ht="20.25" customHeight="1">
      <c r="B85" s="6" t="s">
        <v>220</v>
      </c>
      <c r="C85">
        <v>1</v>
      </c>
      <c r="D85" t="s">
        <v>2</v>
      </c>
      <c r="E85">
        <f>E29</f>
        <v>1600</v>
      </c>
      <c r="F85" t="s">
        <v>2</v>
      </c>
      <c r="G85" s="794">
        <v>4.75</v>
      </c>
      <c r="H85" t="s">
        <v>2</v>
      </c>
      <c r="I85" s="2">
        <v>0.5</v>
      </c>
      <c r="J85" s="436" t="s">
        <v>3</v>
      </c>
      <c r="K85" s="436"/>
      <c r="L85" s="439">
        <f>C85*E85*G85*I85</f>
        <v>3800</v>
      </c>
      <c r="M85" s="27" t="s">
        <v>6</v>
      </c>
    </row>
    <row r="86" spans="1:15" ht="16.5" customHeight="1">
      <c r="B86" t="s">
        <v>257</v>
      </c>
      <c r="C86">
        <v>2</v>
      </c>
      <c r="D86" t="s">
        <v>2</v>
      </c>
      <c r="E86">
        <f>E85</f>
        <v>1600</v>
      </c>
      <c r="F86" t="s">
        <v>2</v>
      </c>
      <c r="G86" s="794">
        <v>0.75</v>
      </c>
      <c r="H86" t="s">
        <v>2</v>
      </c>
      <c r="I86" s="2">
        <v>4.5</v>
      </c>
      <c r="J86" s="448" t="s">
        <v>21</v>
      </c>
      <c r="K86" s="448"/>
      <c r="L86" s="443">
        <f>C86*E86*G86*I86</f>
        <v>10800</v>
      </c>
      <c r="M86" s="27" t="s">
        <v>6</v>
      </c>
    </row>
    <row r="87" spans="1:15">
      <c r="B87" t="s">
        <v>492</v>
      </c>
      <c r="C87">
        <v>1</v>
      </c>
      <c r="D87" t="s">
        <v>2</v>
      </c>
      <c r="E87">
        <f>E86</f>
        <v>1600</v>
      </c>
      <c r="F87" t="s">
        <v>2</v>
      </c>
      <c r="G87" s="794">
        <f>G85</f>
        <v>4.75</v>
      </c>
      <c r="H87" t="s">
        <v>2</v>
      </c>
      <c r="I87" s="2">
        <v>0.42</v>
      </c>
      <c r="J87" s="679" t="s">
        <v>3</v>
      </c>
      <c r="K87" s="679"/>
      <c r="L87" s="682">
        <f>C87*E87*G87*I87</f>
        <v>3192</v>
      </c>
      <c r="M87" s="27" t="s">
        <v>6</v>
      </c>
    </row>
    <row r="88" spans="1:15">
      <c r="A88" s="450"/>
      <c r="J88" s="691" t="s">
        <v>21</v>
      </c>
      <c r="L88" s="451">
        <f>SUM(L85:L87)</f>
        <v>17792</v>
      </c>
      <c r="M88" s="27"/>
    </row>
    <row r="89" spans="1:15">
      <c r="A89" s="450"/>
      <c r="L89" s="451"/>
      <c r="M89" s="27"/>
    </row>
    <row r="90" spans="1:15">
      <c r="B90" s="946">
        <f>L88</f>
        <v>17792</v>
      </c>
      <c r="C90" s="946"/>
      <c r="D90" s="946"/>
      <c r="E90" s="946"/>
      <c r="F90" s="6" t="s">
        <v>6</v>
      </c>
      <c r="K90" s="439" t="str">
        <f>K70</f>
        <v xml:space="preserve"> @ Rs:</v>
      </c>
      <c r="L90" s="13">
        <v>337</v>
      </c>
      <c r="M90" t="s">
        <v>48</v>
      </c>
      <c r="N90" t="s">
        <v>16</v>
      </c>
      <c r="O90" s="10">
        <f>B90*L90</f>
        <v>5995904</v>
      </c>
    </row>
    <row r="91" spans="1:15">
      <c r="K91" s="439"/>
      <c r="L91" s="13"/>
    </row>
    <row r="92" spans="1:15" ht="15.75">
      <c r="A92" s="436">
        <v>12</v>
      </c>
      <c r="B92" s="7" t="s">
        <v>319</v>
      </c>
      <c r="K92" s="439"/>
      <c r="L92" s="13"/>
    </row>
    <row r="93" spans="1:15" ht="15.75">
      <c r="B93" s="7" t="s">
        <v>320</v>
      </c>
      <c r="K93" s="439"/>
      <c r="L93" s="13"/>
    </row>
    <row r="94" spans="1:15" ht="15.75">
      <c r="B94" s="7" t="s">
        <v>321</v>
      </c>
      <c r="K94" s="439"/>
      <c r="L94" s="13"/>
    </row>
    <row r="95" spans="1:15" ht="23.25" customHeight="1">
      <c r="B95" s="912">
        <f>B90</f>
        <v>17792</v>
      </c>
      <c r="C95" s="913"/>
      <c r="D95" t="s">
        <v>2</v>
      </c>
      <c r="E95">
        <v>4</v>
      </c>
      <c r="F95" t="s">
        <v>181</v>
      </c>
      <c r="G95">
        <v>112</v>
      </c>
      <c r="J95" s="436" t="s">
        <v>21</v>
      </c>
      <c r="K95" s="436"/>
      <c r="L95" s="439">
        <f>B95*E95/G95</f>
        <v>635.42857142857144</v>
      </c>
      <c r="M95" s="27" t="s">
        <v>9</v>
      </c>
    </row>
    <row r="96" spans="1:15">
      <c r="B96" s="1014">
        <f>L95</f>
        <v>635.42857142857144</v>
      </c>
      <c r="C96" s="1014"/>
      <c r="D96" s="1014"/>
      <c r="E96" s="1014"/>
      <c r="F96" s="6" t="s">
        <v>9</v>
      </c>
      <c r="K96" s="439" t="str">
        <f>K90</f>
        <v xml:space="preserve"> @ Rs:</v>
      </c>
      <c r="L96" s="13">
        <v>5001.7</v>
      </c>
      <c r="M96" t="s">
        <v>60</v>
      </c>
      <c r="N96" t="s">
        <v>16</v>
      </c>
      <c r="O96" s="10">
        <f>B96*L96</f>
        <v>3178223.0857142857</v>
      </c>
    </row>
    <row r="97" spans="1:15">
      <c r="K97" s="439"/>
      <c r="L97" s="13"/>
    </row>
    <row r="98" spans="1:15">
      <c r="K98" s="439"/>
      <c r="L98" s="13"/>
    </row>
    <row r="99" spans="1:15">
      <c r="A99" s="436">
        <v>13</v>
      </c>
      <c r="B99" t="s">
        <v>501</v>
      </c>
      <c r="K99" s="439"/>
      <c r="L99" s="13"/>
    </row>
    <row r="100" spans="1:15">
      <c r="C100">
        <f>E85</f>
        <v>1600</v>
      </c>
      <c r="D100" t="s">
        <v>181</v>
      </c>
      <c r="E100" s="215">
        <v>50</v>
      </c>
      <c r="J100" s="436" t="s">
        <v>21</v>
      </c>
      <c r="K100" s="676">
        <f>C100/E100</f>
        <v>32</v>
      </c>
      <c r="L100" s="27"/>
      <c r="M100" s="683"/>
    </row>
    <row r="101" spans="1:15" ht="18" customHeight="1">
      <c r="C101" s="2">
        <v>32</v>
      </c>
      <c r="D101" t="s">
        <v>2</v>
      </c>
      <c r="E101" s="794">
        <v>1.5</v>
      </c>
      <c r="J101" s="436" t="str">
        <f>J100</f>
        <v>=</v>
      </c>
      <c r="K101" s="436"/>
      <c r="L101" s="439">
        <f>C101*E101</f>
        <v>48</v>
      </c>
      <c r="M101" s="27" t="s">
        <v>9</v>
      </c>
    </row>
    <row r="102" spans="1:15" ht="17.25" customHeight="1">
      <c r="B102" s="946">
        <f>L101</f>
        <v>48</v>
      </c>
      <c r="C102" s="947"/>
      <c r="D102" s="947"/>
      <c r="E102" s="947"/>
      <c r="F102" s="6" t="s">
        <v>9</v>
      </c>
      <c r="K102" s="558" t="s">
        <v>213</v>
      </c>
      <c r="L102" s="13">
        <v>6985</v>
      </c>
      <c r="M102" s="440" t="s">
        <v>60</v>
      </c>
      <c r="N102" s="440" t="s">
        <v>16</v>
      </c>
      <c r="O102" s="10">
        <f>B102*L102</f>
        <v>335280</v>
      </c>
    </row>
    <row r="103" spans="1:15">
      <c r="K103" s="439"/>
      <c r="L103" s="13"/>
    </row>
    <row r="104" spans="1:15" ht="15.75">
      <c r="A104" s="436">
        <v>14</v>
      </c>
      <c r="B104" s="7" t="s">
        <v>502</v>
      </c>
      <c r="K104" s="439"/>
      <c r="L104" s="13"/>
    </row>
    <row r="105" spans="1:15" ht="15.75">
      <c r="B105" s="7" t="s">
        <v>503</v>
      </c>
      <c r="K105" s="439"/>
      <c r="L105" s="13"/>
    </row>
    <row r="106" spans="1:15" ht="15.75">
      <c r="B106" s="7" t="s">
        <v>504</v>
      </c>
      <c r="K106" s="439"/>
      <c r="L106" s="13"/>
    </row>
    <row r="107" spans="1:15" ht="15.75">
      <c r="B107" s="7" t="s">
        <v>756</v>
      </c>
      <c r="K107" s="439"/>
      <c r="L107" s="13"/>
    </row>
    <row r="108" spans="1:15">
      <c r="C108">
        <f>C100</f>
        <v>1600</v>
      </c>
      <c r="D108" t="s">
        <v>181</v>
      </c>
      <c r="E108">
        <v>50</v>
      </c>
      <c r="J108" s="436" t="str">
        <f>J101</f>
        <v>=</v>
      </c>
      <c r="K108" s="682">
        <f>C101</f>
        <v>32</v>
      </c>
      <c r="L108" s="13"/>
    </row>
    <row r="109" spans="1:15">
      <c r="B109" t="s">
        <v>506</v>
      </c>
      <c r="C109" s="2">
        <f>K108</f>
        <v>32</v>
      </c>
      <c r="D109" t="s">
        <v>2</v>
      </c>
      <c r="E109">
        <v>0.25</v>
      </c>
      <c r="J109" s="436" t="s">
        <v>21</v>
      </c>
      <c r="K109" s="436"/>
      <c r="L109" s="439">
        <f>C109*E109</f>
        <v>8</v>
      </c>
      <c r="M109" s="27" t="s">
        <v>9</v>
      </c>
    </row>
    <row r="110" spans="1:15">
      <c r="B110" s="946">
        <f>L109</f>
        <v>8</v>
      </c>
      <c r="C110" s="946"/>
      <c r="D110" s="946"/>
      <c r="E110" s="946"/>
      <c r="F110" s="6" t="s">
        <v>9</v>
      </c>
      <c r="K110" s="439" t="str">
        <f>K102</f>
        <v>@Rs</v>
      </c>
      <c r="L110" s="13">
        <v>6420.61</v>
      </c>
      <c r="M110" s="440" t="s">
        <v>60</v>
      </c>
      <c r="N110" s="440" t="s">
        <v>16</v>
      </c>
      <c r="O110" s="28">
        <f>B110*L110</f>
        <v>51364.88</v>
      </c>
    </row>
    <row r="111" spans="1:15">
      <c r="B111" s="341"/>
      <c r="C111" s="342"/>
      <c r="D111" s="342"/>
      <c r="E111" s="342"/>
      <c r="K111" s="439"/>
      <c r="L111" s="13"/>
      <c r="M111" s="440"/>
      <c r="N111" s="440"/>
      <c r="O111" s="177"/>
    </row>
    <row r="112" spans="1:15">
      <c r="B112" s="341"/>
      <c r="C112" s="342"/>
      <c r="D112" s="342"/>
      <c r="E112" s="342"/>
      <c r="K112" s="437"/>
      <c r="L112" s="440"/>
      <c r="M112" s="440"/>
      <c r="N112" s="447"/>
      <c r="O112" s="559"/>
    </row>
    <row r="113" spans="1:17" s="560" customFormat="1">
      <c r="A113" s="560">
        <v>15</v>
      </c>
      <c r="B113" s="561" t="s">
        <v>512</v>
      </c>
      <c r="C113" s="562"/>
      <c r="D113" s="562"/>
      <c r="E113" s="562"/>
      <c r="M113" s="557"/>
      <c r="N113" s="563"/>
      <c r="O113" s="64"/>
      <c r="P113" s="64"/>
      <c r="Q113" s="564"/>
    </row>
    <row r="114" spans="1:17" s="560" customFormat="1">
      <c r="B114" s="561" t="s">
        <v>513</v>
      </c>
      <c r="C114" s="562"/>
      <c r="D114" s="562"/>
      <c r="E114" s="562"/>
      <c r="M114" s="557"/>
      <c r="N114" s="563"/>
      <c r="O114" s="64"/>
      <c r="P114" s="64"/>
      <c r="Q114" s="564"/>
    </row>
    <row r="115" spans="1:17" s="560" customFormat="1">
      <c r="B115" s="561" t="s">
        <v>514</v>
      </c>
      <c r="C115" s="562"/>
      <c r="D115" s="562"/>
      <c r="E115" s="361"/>
      <c r="K115" s="361"/>
      <c r="L115" s="361"/>
      <c r="M115" s="361"/>
      <c r="N115" s="557"/>
      <c r="O115" s="563"/>
      <c r="P115" s="64"/>
      <c r="Q115" s="64"/>
    </row>
    <row r="116" spans="1:17" s="560" customFormat="1">
      <c r="B116" s="561" t="s">
        <v>329</v>
      </c>
      <c r="C116" s="562"/>
      <c r="D116" s="562"/>
      <c r="E116" s="361"/>
      <c r="K116" s="361"/>
      <c r="L116" s="361"/>
      <c r="M116" s="361"/>
      <c r="N116" s="557"/>
      <c r="O116" s="563"/>
      <c r="P116" s="64"/>
      <c r="Q116" s="64"/>
    </row>
    <row r="117" spans="1:17">
      <c r="C117" t="s">
        <v>515</v>
      </c>
      <c r="J117" t="s">
        <v>21</v>
      </c>
      <c r="K117" s="439"/>
      <c r="L117" s="13">
        <f>C109</f>
        <v>32</v>
      </c>
    </row>
    <row r="118" spans="1:17" ht="21.75" customHeight="1">
      <c r="B118" s="946">
        <f>L117</f>
        <v>32</v>
      </c>
      <c r="C118" s="946"/>
      <c r="D118" s="946"/>
      <c r="E118" s="946"/>
      <c r="F118" s="6" t="s">
        <v>9</v>
      </c>
      <c r="K118" s="558" t="s">
        <v>213</v>
      </c>
      <c r="L118" s="13">
        <v>1051.25</v>
      </c>
      <c r="M118" s="440" t="s">
        <v>330</v>
      </c>
      <c r="N118" s="440" t="s">
        <v>16</v>
      </c>
      <c r="O118" s="10">
        <f>B118*L118</f>
        <v>33640</v>
      </c>
    </row>
    <row r="119" spans="1:17">
      <c r="N119" s="274"/>
      <c r="O119" s="274"/>
    </row>
    <row r="120" spans="1:17" s="461" customFormat="1" ht="22.5" customHeight="1">
      <c r="A120" s="799"/>
      <c r="M120" s="461" t="s">
        <v>183</v>
      </c>
      <c r="N120" s="530" t="s">
        <v>402</v>
      </c>
      <c r="O120" s="519">
        <f>SUM(O6:O119)</f>
        <v>11113309.986214286</v>
      </c>
    </row>
  </sheetData>
  <mergeCells count="20">
    <mergeCell ref="B118:E118"/>
    <mergeCell ref="A2:O2"/>
    <mergeCell ref="B6:E6"/>
    <mergeCell ref="B11:E11"/>
    <mergeCell ref="B15:E15"/>
    <mergeCell ref="B95:C95"/>
    <mergeCell ref="B30:E30"/>
    <mergeCell ref="B40:E40"/>
    <mergeCell ref="B48:E48"/>
    <mergeCell ref="J53:K53"/>
    <mergeCell ref="B57:E57"/>
    <mergeCell ref="B63:E63"/>
    <mergeCell ref="B70:E70"/>
    <mergeCell ref="B77:E77"/>
    <mergeCell ref="B20:E20"/>
    <mergeCell ref="A1:O1"/>
    <mergeCell ref="B96:E96"/>
    <mergeCell ref="B90:E90"/>
    <mergeCell ref="B102:E102"/>
    <mergeCell ref="B110:E110"/>
  </mergeCells>
  <pageMargins left="0.83" right="0.26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rgb="FFFF0000"/>
  </sheetPr>
  <dimension ref="A1:AD131"/>
  <sheetViews>
    <sheetView topLeftCell="A127" workbookViewId="0">
      <selection activeCell="G139" sqref="G139"/>
    </sheetView>
  </sheetViews>
  <sheetFormatPr defaultRowHeight="12.75"/>
  <cols>
    <col min="1" max="1" width="4.140625" customWidth="1"/>
    <col min="2" max="2" width="10.85546875" customWidth="1"/>
    <col min="3" max="3" width="5.42578125" customWidth="1"/>
    <col min="4" max="4" width="2.28515625" customWidth="1"/>
    <col min="5" max="5" width="7.28515625" customWidth="1"/>
    <col min="6" max="6" width="3.140625" customWidth="1"/>
    <col min="7" max="7" width="6.42578125" customWidth="1"/>
    <col min="8" max="8" width="2.28515625" customWidth="1"/>
    <col min="9" max="9" width="6" customWidth="1"/>
    <col min="10" max="10" width="2.28515625" customWidth="1"/>
    <col min="11" max="11" width="6.7109375" customWidth="1"/>
    <col min="12" max="12" width="10" customWidth="1"/>
    <col min="13" max="13" width="11.5703125" customWidth="1"/>
    <col min="14" max="14" width="4.42578125" customWidth="1"/>
    <col min="15" max="15" width="9" customWidth="1"/>
    <col min="16" max="17" width="0" hidden="1" customWidth="1"/>
    <col min="18" max="18" width="4.5703125" hidden="1" customWidth="1"/>
    <col min="19" max="19" width="3.28515625" hidden="1" customWidth="1"/>
    <col min="20" max="20" width="4.7109375" hidden="1" customWidth="1"/>
    <col min="21" max="21" width="2.5703125" hidden="1" customWidth="1"/>
    <col min="22" max="22" width="6.7109375" hidden="1" customWidth="1"/>
    <col min="23" max="23" width="3.7109375" hidden="1" customWidth="1"/>
    <col min="24" max="24" width="7.5703125" hidden="1" customWidth="1"/>
    <col min="25" max="43" width="0" hidden="1" customWidth="1"/>
  </cols>
  <sheetData>
    <row r="1" spans="1:18">
      <c r="A1" s="1018" t="s">
        <v>617</v>
      </c>
      <c r="B1" s="1018"/>
      <c r="C1" s="1018"/>
      <c r="D1" s="1018"/>
      <c r="E1" s="1018"/>
      <c r="F1" s="1018"/>
      <c r="G1" s="1018"/>
      <c r="H1" s="1018"/>
      <c r="I1" s="1018"/>
      <c r="J1" s="1018"/>
      <c r="K1" s="1018"/>
      <c r="L1" s="1018"/>
      <c r="M1" s="1018"/>
      <c r="N1" s="1018"/>
      <c r="O1" s="1018"/>
    </row>
    <row r="2" spans="1:18">
      <c r="A2" s="1018"/>
      <c r="B2" s="1018"/>
      <c r="C2" s="1018"/>
      <c r="D2" s="1018"/>
      <c r="E2" s="1018"/>
      <c r="F2" s="1018"/>
      <c r="G2" s="1018"/>
      <c r="H2" s="1018"/>
      <c r="I2" s="1018"/>
      <c r="J2" s="1018"/>
      <c r="K2" s="1018"/>
      <c r="L2" s="1018"/>
      <c r="M2" s="1018"/>
      <c r="N2" s="1018"/>
      <c r="O2" s="1018"/>
    </row>
    <row r="3" spans="1:18" ht="15.75">
      <c r="A3">
        <v>1</v>
      </c>
      <c r="B3" s="7" t="s">
        <v>95</v>
      </c>
    </row>
    <row r="4" spans="1:18" ht="15.75">
      <c r="B4" s="7" t="s">
        <v>96</v>
      </c>
    </row>
    <row r="5" spans="1:18" ht="15.75">
      <c r="B5" s="7" t="s">
        <v>97</v>
      </c>
    </row>
    <row r="6" spans="1:18" ht="15.75">
      <c r="B6" s="7">
        <v>1</v>
      </c>
      <c r="C6" t="s">
        <v>606</v>
      </c>
      <c r="L6" s="570" t="s">
        <v>21</v>
      </c>
      <c r="M6" s="571">
        <v>400</v>
      </c>
      <c r="N6" t="s">
        <v>180</v>
      </c>
    </row>
    <row r="7" spans="1:18" ht="19.5" customHeight="1">
      <c r="B7" s="7">
        <v>2</v>
      </c>
      <c r="C7" t="s">
        <v>608</v>
      </c>
      <c r="L7" s="570" t="s">
        <v>21</v>
      </c>
      <c r="M7" s="571">
        <v>200</v>
      </c>
      <c r="N7" t="s">
        <v>180</v>
      </c>
    </row>
    <row r="8" spans="1:18" ht="15.75">
      <c r="B8" s="7"/>
      <c r="L8" s="6" t="s">
        <v>575</v>
      </c>
      <c r="M8" s="623">
        <f>SUM(M6:M7)</f>
        <v>600</v>
      </c>
      <c r="N8" t="s">
        <v>180</v>
      </c>
    </row>
    <row r="9" spans="1:18" ht="19.5" customHeight="1">
      <c r="B9" s="6" t="s">
        <v>576</v>
      </c>
      <c r="M9" s="56"/>
      <c r="N9" s="574"/>
    </row>
    <row r="10" spans="1:18" ht="19.5" customHeight="1">
      <c r="B10" t="s">
        <v>577</v>
      </c>
      <c r="C10">
        <v>4</v>
      </c>
      <c r="D10" t="s">
        <v>2</v>
      </c>
      <c r="E10" s="570">
        <v>1</v>
      </c>
      <c r="F10" t="s">
        <v>2</v>
      </c>
      <c r="G10" s="570">
        <v>3</v>
      </c>
      <c r="H10" s="570" t="s">
        <v>46</v>
      </c>
      <c r="I10" s="570">
        <v>3</v>
      </c>
      <c r="L10" t="s">
        <v>21</v>
      </c>
      <c r="M10" s="26">
        <f>(I10+G10)*E10*C10</f>
        <v>24</v>
      </c>
      <c r="N10" s="574" t="s">
        <v>10</v>
      </c>
      <c r="R10">
        <f>G10+I10</f>
        <v>6</v>
      </c>
    </row>
    <row r="11" spans="1:18" ht="19.5" customHeight="1">
      <c r="B11" s="6" t="s">
        <v>578</v>
      </c>
      <c r="C11">
        <v>2</v>
      </c>
      <c r="D11" t="s">
        <v>2</v>
      </c>
      <c r="E11" s="570">
        <v>1</v>
      </c>
      <c r="F11" t="s">
        <v>2</v>
      </c>
      <c r="G11" s="570">
        <v>10</v>
      </c>
      <c r="L11" t="s">
        <v>21</v>
      </c>
      <c r="M11" s="26">
        <f>(I11+G11)*E11*C11</f>
        <v>20</v>
      </c>
      <c r="N11" s="574" t="s">
        <v>10</v>
      </c>
      <c r="R11">
        <f>G11+I11</f>
        <v>10</v>
      </c>
    </row>
    <row r="12" spans="1:18" ht="19.5" customHeight="1">
      <c r="B12" s="6"/>
      <c r="M12" s="56">
        <f>SUM(M10:M11)</f>
        <v>44</v>
      </c>
      <c r="N12" s="574" t="s">
        <v>10</v>
      </c>
    </row>
    <row r="13" spans="1:18" ht="19.5" customHeight="1">
      <c r="B13" s="2">
        <f>M8</f>
        <v>600</v>
      </c>
      <c r="E13" s="589" t="s">
        <v>579</v>
      </c>
      <c r="G13" s="912">
        <f>M12</f>
        <v>44</v>
      </c>
      <c r="H13" s="913"/>
      <c r="L13" t="s">
        <v>21</v>
      </c>
      <c r="M13" s="56">
        <f>B13-G13</f>
        <v>556</v>
      </c>
      <c r="N13" s="574" t="s">
        <v>10</v>
      </c>
    </row>
    <row r="14" spans="1:18" ht="19.5" customHeight="1">
      <c r="B14" s="935">
        <f>M13</f>
        <v>556</v>
      </c>
      <c r="C14" s="1019"/>
      <c r="D14" s="225" t="s">
        <v>2</v>
      </c>
      <c r="E14" s="36">
        <v>1.5</v>
      </c>
      <c r="F14" s="6" t="s">
        <v>2</v>
      </c>
      <c r="G14" s="214">
        <v>2</v>
      </c>
      <c r="H14" s="6"/>
      <c r="I14" s="6"/>
      <c r="J14" s="6"/>
      <c r="L14" t="s">
        <v>21</v>
      </c>
      <c r="M14" s="583">
        <f>B14*E14*G14</f>
        <v>1668</v>
      </c>
      <c r="N14" s="27" t="s">
        <v>6</v>
      </c>
      <c r="O14" s="6" t="s">
        <v>15</v>
      </c>
      <c r="P14" s="6" t="s">
        <v>15</v>
      </c>
      <c r="Q14" s="30" t="s">
        <v>15</v>
      </c>
    </row>
    <row r="15" spans="1:18" ht="19.5" customHeight="1">
      <c r="B15" s="624" t="s">
        <v>577</v>
      </c>
      <c r="C15" s="225">
        <f>C10</f>
        <v>4</v>
      </c>
      <c r="D15" s="225" t="s">
        <v>2</v>
      </c>
      <c r="E15" s="589">
        <v>2</v>
      </c>
      <c r="F15" s="225" t="s">
        <v>580</v>
      </c>
      <c r="G15" s="589">
        <f>G10</f>
        <v>3</v>
      </c>
      <c r="H15" s="6" t="s">
        <v>2</v>
      </c>
      <c r="I15" s="589">
        <f>I10</f>
        <v>3</v>
      </c>
      <c r="J15" s="6" t="s">
        <v>2</v>
      </c>
      <c r="K15" s="25">
        <v>2</v>
      </c>
      <c r="L15" t="s">
        <v>21</v>
      </c>
      <c r="M15" s="583">
        <f>C15*G15*I15*K15*E15</f>
        <v>144</v>
      </c>
      <c r="N15" s="27" t="s">
        <v>6</v>
      </c>
      <c r="O15" s="6"/>
      <c r="P15" s="6"/>
      <c r="Q15" s="30"/>
    </row>
    <row r="16" spans="1:18" ht="19.5" customHeight="1">
      <c r="B16" s="624"/>
      <c r="C16" s="225"/>
      <c r="D16" s="225"/>
      <c r="E16" s="225"/>
      <c r="F16" s="6"/>
      <c r="G16" s="6"/>
      <c r="H16" s="6"/>
      <c r="I16" s="6"/>
      <c r="J16" s="6"/>
      <c r="L16" t="s">
        <v>21</v>
      </c>
      <c r="M16" s="585">
        <f>SUM(M14:M15)</f>
        <v>1812</v>
      </c>
      <c r="N16" s="27" t="s">
        <v>6</v>
      </c>
      <c r="O16" s="6"/>
      <c r="P16" s="6"/>
      <c r="Q16" s="30"/>
    </row>
    <row r="17" spans="1:17" ht="22.5" customHeight="1">
      <c r="B17" s="56">
        <f>M16</f>
        <v>1812</v>
      </c>
      <c r="C17" s="2" t="str">
        <f>N16</f>
        <v>Cft</v>
      </c>
      <c r="K17" s="346" t="s">
        <v>17</v>
      </c>
      <c r="L17" s="27">
        <v>3176.25</v>
      </c>
      <c r="M17" s="6" t="s">
        <v>86</v>
      </c>
      <c r="N17" s="6" t="s">
        <v>16</v>
      </c>
      <c r="O17" s="28">
        <f>B17*L17/1000</f>
        <v>5755.3649999999998</v>
      </c>
    </row>
    <row r="18" spans="1:17">
      <c r="B18" s="56"/>
      <c r="K18" s="346"/>
      <c r="L18" s="27"/>
      <c r="M18" s="6"/>
      <c r="N18" s="6"/>
      <c r="O18" s="28"/>
    </row>
    <row r="19" spans="1:17" ht="15.75">
      <c r="A19">
        <v>2</v>
      </c>
      <c r="B19" s="7" t="s">
        <v>100</v>
      </c>
      <c r="L19" s="13"/>
      <c r="O19" s="574"/>
    </row>
    <row r="20" spans="1:17" ht="15.75">
      <c r="B20" s="7" t="s">
        <v>581</v>
      </c>
      <c r="L20" s="13"/>
      <c r="O20" s="574"/>
    </row>
    <row r="21" spans="1:17">
      <c r="B21" s="1020">
        <f>B14</f>
        <v>556</v>
      </c>
      <c r="C21" s="1020"/>
      <c r="D21" t="s">
        <v>2</v>
      </c>
      <c r="E21" s="569">
        <f>E14</f>
        <v>1.5</v>
      </c>
      <c r="F21" t="s">
        <v>2</v>
      </c>
      <c r="G21" s="2">
        <v>0.5</v>
      </c>
      <c r="H21" t="s">
        <v>15</v>
      </c>
      <c r="I21" t="s">
        <v>15</v>
      </c>
      <c r="M21" s="2">
        <f>B21*E21*G21</f>
        <v>417</v>
      </c>
      <c r="N21" s="574" t="s">
        <v>6</v>
      </c>
      <c r="Q21" s="574"/>
    </row>
    <row r="22" spans="1:17" ht="18" customHeight="1">
      <c r="B22" s="624"/>
      <c r="C22" s="225">
        <v>2</v>
      </c>
      <c r="D22" s="225" t="s">
        <v>2</v>
      </c>
      <c r="E22" s="589">
        <f>E15</f>
        <v>2</v>
      </c>
      <c r="F22" s="225" t="s">
        <v>2</v>
      </c>
      <c r="G22" s="589">
        <f>G15</f>
        <v>3</v>
      </c>
      <c r="H22" s="589" t="s">
        <v>2</v>
      </c>
      <c r="I22" s="589">
        <f>I15</f>
        <v>3</v>
      </c>
      <c r="J22" s="589" t="s">
        <v>2</v>
      </c>
      <c r="K22" s="588">
        <v>0.5</v>
      </c>
      <c r="L22" s="6"/>
      <c r="M22" s="583">
        <f>C22*G22*I22*K22*E22</f>
        <v>18</v>
      </c>
      <c r="N22" s="27" t="s">
        <v>6</v>
      </c>
      <c r="O22" s="6"/>
      <c r="P22" s="6"/>
      <c r="Q22" s="30"/>
    </row>
    <row r="23" spans="1:17" ht="20.25" customHeight="1">
      <c r="M23" s="56">
        <f>M21+M22</f>
        <v>435</v>
      </c>
      <c r="N23" s="574" t="s">
        <v>6</v>
      </c>
      <c r="Q23" s="574"/>
    </row>
    <row r="24" spans="1:17">
      <c r="B24" s="85">
        <f>M23</f>
        <v>435</v>
      </c>
      <c r="C24" s="624" t="str">
        <f>N23</f>
        <v>Cft</v>
      </c>
      <c r="D24" s="624"/>
      <c r="E24" s="624"/>
      <c r="K24" s="573" t="str">
        <f>K17</f>
        <v xml:space="preserve"> @Rs:</v>
      </c>
      <c r="L24" s="13">
        <v>9416.2800000000007</v>
      </c>
      <c r="M24" t="s">
        <v>12</v>
      </c>
      <c r="N24" t="s">
        <v>16</v>
      </c>
      <c r="O24" s="10">
        <f>B24*L24/100</f>
        <v>40960.817999999999</v>
      </c>
    </row>
    <row r="25" spans="1:17" s="625" customFormat="1" ht="15.75">
      <c r="A25" s="625">
        <v>3</v>
      </c>
      <c r="B25" s="625" t="s">
        <v>524</v>
      </c>
      <c r="E25" s="626"/>
      <c r="N25" s="627"/>
      <c r="Q25" s="628"/>
    </row>
    <row r="26" spans="1:17" s="625" customFormat="1" ht="15.75">
      <c r="B26" s="625" t="s">
        <v>102</v>
      </c>
      <c r="E26" s="626"/>
      <c r="N26" s="627"/>
      <c r="Q26" s="628"/>
    </row>
    <row r="27" spans="1:17" s="629" customFormat="1" ht="21" customHeight="1">
      <c r="C27" s="630">
        <f>B21</f>
        <v>556</v>
      </c>
      <c r="D27" s="629" t="s">
        <v>2</v>
      </c>
      <c r="E27" s="632">
        <v>1.5</v>
      </c>
      <c r="F27" s="629" t="s">
        <v>2</v>
      </c>
      <c r="G27" s="632">
        <v>1.5</v>
      </c>
      <c r="H27" s="629" t="s">
        <v>15</v>
      </c>
      <c r="I27" s="629" t="s">
        <v>15</v>
      </c>
      <c r="K27" s="629" t="s">
        <v>3</v>
      </c>
      <c r="L27" s="633"/>
      <c r="M27" s="634">
        <f>C27*E27*G27</f>
        <v>1251</v>
      </c>
      <c r="N27" s="635" t="s">
        <v>6</v>
      </c>
      <c r="Q27" s="635"/>
    </row>
    <row r="28" spans="1:17" s="629" customFormat="1" ht="16.5" customHeight="1">
      <c r="C28" s="630">
        <f>C27</f>
        <v>556</v>
      </c>
      <c r="D28" s="629" t="s">
        <v>2</v>
      </c>
      <c r="E28" s="631">
        <v>1.1299999999999999</v>
      </c>
      <c r="F28" s="629" t="s">
        <v>2</v>
      </c>
      <c r="G28" s="636">
        <v>3</v>
      </c>
      <c r="H28" s="629" t="s">
        <v>15</v>
      </c>
      <c r="I28" s="629" t="s">
        <v>15</v>
      </c>
      <c r="K28" s="629" t="s">
        <v>3</v>
      </c>
      <c r="L28" s="633"/>
      <c r="M28" s="634">
        <f>C28*E28*G28</f>
        <v>1884.84</v>
      </c>
      <c r="N28" s="635" t="s">
        <v>6</v>
      </c>
      <c r="Q28" s="635"/>
    </row>
    <row r="29" spans="1:17" s="629" customFormat="1" ht="20.25" customHeight="1">
      <c r="C29" s="630"/>
      <c r="E29" s="631"/>
      <c r="G29" s="636"/>
      <c r="L29" s="633"/>
      <c r="M29" s="634">
        <f>SUM(M27:M28)</f>
        <v>3135.84</v>
      </c>
      <c r="N29" s="635"/>
      <c r="Q29" s="635"/>
    </row>
    <row r="30" spans="1:17" s="629" customFormat="1" ht="15.75">
      <c r="B30" s="637">
        <f>M29</f>
        <v>3135.84</v>
      </c>
      <c r="C30" s="638" t="str">
        <f>N27</f>
        <v>Cft</v>
      </c>
      <c r="D30" s="638"/>
      <c r="E30" s="638"/>
      <c r="K30" s="639" t="s">
        <v>213</v>
      </c>
      <c r="L30" s="640">
        <v>11948.36</v>
      </c>
      <c r="M30" s="629" t="s">
        <v>12</v>
      </c>
      <c r="N30" s="629" t="s">
        <v>16</v>
      </c>
      <c r="O30" s="641">
        <f>B30*L30/100</f>
        <v>374681.45222400001</v>
      </c>
    </row>
    <row r="31" spans="1:17" s="629" customFormat="1">
      <c r="K31" s="642"/>
      <c r="L31" s="643"/>
      <c r="O31" s="635"/>
    </row>
    <row r="32" spans="1:17" s="625" customFormat="1" ht="15.75">
      <c r="A32" s="625">
        <v>4</v>
      </c>
      <c r="B32" s="625" t="s">
        <v>582</v>
      </c>
      <c r="E32" s="626"/>
      <c r="N32" s="627"/>
      <c r="Q32" s="628"/>
    </row>
    <row r="33" spans="1:17" s="625" customFormat="1" ht="15.75">
      <c r="B33" s="625" t="s">
        <v>583</v>
      </c>
      <c r="E33" s="626"/>
      <c r="N33" s="627"/>
      <c r="Q33" s="628"/>
    </row>
    <row r="34" spans="1:17" s="629" customFormat="1" ht="18.75" customHeight="1">
      <c r="C34" s="629">
        <v>1</v>
      </c>
      <c r="D34" s="629" t="s">
        <v>2</v>
      </c>
      <c r="E34" s="629">
        <f>C27</f>
        <v>556</v>
      </c>
      <c r="F34" s="629" t="s">
        <v>2</v>
      </c>
      <c r="G34" s="631">
        <v>1.1299999999999999</v>
      </c>
      <c r="H34" s="629" t="s">
        <v>2</v>
      </c>
      <c r="I34" s="629" t="s">
        <v>15</v>
      </c>
      <c r="K34" s="629" t="s">
        <v>3</v>
      </c>
      <c r="L34" s="633"/>
      <c r="M34" s="634">
        <f>C34*E34*G34</f>
        <v>628.28</v>
      </c>
      <c r="N34" s="635" t="s">
        <v>8</v>
      </c>
      <c r="Q34" s="635"/>
    </row>
    <row r="35" spans="1:17" s="629" customFormat="1" ht="15.75">
      <c r="B35" s="637">
        <f>M34</f>
        <v>628.28</v>
      </c>
      <c r="C35" s="638" t="str">
        <f>N34</f>
        <v>Sft</v>
      </c>
      <c r="D35" s="638"/>
      <c r="E35" s="638"/>
      <c r="K35" s="639" t="s">
        <v>213</v>
      </c>
      <c r="L35" s="640">
        <v>4982.18</v>
      </c>
      <c r="M35" s="629" t="s">
        <v>7</v>
      </c>
      <c r="N35" s="629" t="s">
        <v>5</v>
      </c>
      <c r="O35" s="641">
        <f>B35*L35/100</f>
        <v>31302.040504000001</v>
      </c>
    </row>
    <row r="36" spans="1:17">
      <c r="B36" s="85"/>
      <c r="C36" s="624"/>
      <c r="D36" s="624"/>
      <c r="E36" s="624"/>
      <c r="K36" s="573"/>
      <c r="L36" s="13"/>
      <c r="O36" s="10"/>
    </row>
    <row r="37" spans="1:17">
      <c r="B37" s="85"/>
      <c r="C37" s="624"/>
      <c r="D37" s="624"/>
      <c r="E37" s="624"/>
      <c r="K37" s="656"/>
      <c r="L37" s="13"/>
      <c r="O37" s="10"/>
    </row>
    <row r="38" spans="1:17">
      <c r="B38" s="85"/>
      <c r="C38" s="624"/>
      <c r="D38" s="624"/>
      <c r="E38" s="624"/>
      <c r="K38" s="656"/>
      <c r="L38" s="13"/>
      <c r="O38" s="10"/>
    </row>
    <row r="39" spans="1:17">
      <c r="B39" s="85"/>
      <c r="C39" s="624"/>
      <c r="D39" s="624"/>
      <c r="E39" s="624"/>
      <c r="K39" s="656"/>
      <c r="L39" s="13"/>
      <c r="O39" s="10"/>
    </row>
    <row r="40" spans="1:17">
      <c r="B40" s="85"/>
      <c r="C40" s="624"/>
      <c r="D40" s="624"/>
      <c r="E40" s="624"/>
      <c r="K40" s="656"/>
      <c r="L40" s="13"/>
      <c r="O40" s="10"/>
    </row>
    <row r="41" spans="1:17">
      <c r="B41" s="85"/>
      <c r="C41" s="624"/>
      <c r="D41" s="624"/>
      <c r="E41" s="624"/>
      <c r="K41" s="656"/>
      <c r="L41" s="13"/>
      <c r="O41" s="10"/>
    </row>
    <row r="42" spans="1:17">
      <c r="B42" s="85"/>
      <c r="C42" s="624"/>
      <c r="D42" s="624"/>
      <c r="E42" s="624"/>
      <c r="K42" s="656"/>
      <c r="L42" s="13"/>
      <c r="O42" s="10"/>
    </row>
    <row r="43" spans="1:17">
      <c r="B43" s="85"/>
      <c r="C43" s="624"/>
      <c r="D43" s="624"/>
      <c r="E43" s="624"/>
      <c r="K43" s="656"/>
      <c r="L43" s="13"/>
      <c r="O43" s="10"/>
    </row>
    <row r="44" spans="1:17">
      <c r="B44" s="85"/>
      <c r="C44" s="624"/>
      <c r="D44" s="624"/>
      <c r="E44" s="624"/>
      <c r="K44" s="656"/>
      <c r="L44" s="13"/>
      <c r="O44" s="10"/>
    </row>
    <row r="45" spans="1:17" s="7" customFormat="1" ht="15.75">
      <c r="A45" s="7">
        <v>5</v>
      </c>
      <c r="B45" s="7" t="s">
        <v>13</v>
      </c>
      <c r="L45" s="63"/>
      <c r="M45" s="601"/>
      <c r="O45" s="72"/>
    </row>
    <row r="46" spans="1:17" s="7" customFormat="1" ht="15.75">
      <c r="B46" s="21" t="s">
        <v>104</v>
      </c>
      <c r="C46" s="21"/>
      <c r="D46" s="21"/>
      <c r="E46" s="21"/>
      <c r="F46" s="21"/>
      <c r="G46" s="21"/>
      <c r="H46" s="21"/>
      <c r="L46" s="63"/>
      <c r="O46" s="72"/>
    </row>
    <row r="47" spans="1:17" s="7" customFormat="1" ht="15.75">
      <c r="B47" s="21" t="s">
        <v>105</v>
      </c>
      <c r="C47" s="21"/>
      <c r="D47" s="21"/>
      <c r="E47" s="21"/>
      <c r="F47" s="21"/>
      <c r="G47" s="21"/>
      <c r="H47" s="21"/>
      <c r="L47" s="63"/>
      <c r="O47" s="72"/>
    </row>
    <row r="48" spans="1:17" s="7" customFormat="1" ht="15.75">
      <c r="B48" s="7" t="s">
        <v>106</v>
      </c>
      <c r="L48" s="63"/>
      <c r="O48" s="72"/>
    </row>
    <row r="49" spans="1:30" s="7" customFormat="1" ht="15.75">
      <c r="B49" s="7" t="s">
        <v>107</v>
      </c>
      <c r="L49" s="63"/>
      <c r="O49" s="72"/>
    </row>
    <row r="50" spans="1:30" s="7" customFormat="1" ht="15.75">
      <c r="B50" s="7" t="s">
        <v>108</v>
      </c>
      <c r="L50" s="63"/>
      <c r="O50" s="72"/>
    </row>
    <row r="51" spans="1:30" s="7" customFormat="1" ht="15.75">
      <c r="B51" s="7" t="s">
        <v>109</v>
      </c>
      <c r="L51" s="63"/>
      <c r="O51" s="72"/>
    </row>
    <row r="52" spans="1:30" s="7" customFormat="1" ht="15.75">
      <c r="B52" s="7" t="s">
        <v>577</v>
      </c>
      <c r="C52" s="7">
        <f>C10</f>
        <v>4</v>
      </c>
      <c r="D52" s="7" t="s">
        <v>2</v>
      </c>
      <c r="E52" s="591">
        <v>2</v>
      </c>
      <c r="F52" s="7" t="s">
        <v>2</v>
      </c>
      <c r="G52" s="41">
        <v>2.5</v>
      </c>
      <c r="H52" s="41" t="s">
        <v>2</v>
      </c>
      <c r="I52" s="41">
        <f>G52</f>
        <v>2.5</v>
      </c>
      <c r="J52" s="41" t="s">
        <v>2</v>
      </c>
      <c r="K52" s="41">
        <v>1.5</v>
      </c>
      <c r="L52" s="591" t="s">
        <v>3</v>
      </c>
      <c r="M52" s="41">
        <f>C52*E52*G52*I52*K52</f>
        <v>75</v>
      </c>
      <c r="N52" s="63" t="s">
        <v>6</v>
      </c>
      <c r="Q52" s="72"/>
    </row>
    <row r="53" spans="1:30" s="7" customFormat="1" ht="15.75">
      <c r="B53" s="75"/>
      <c r="C53" s="7">
        <f>C52</f>
        <v>4</v>
      </c>
      <c r="D53" s="7" t="s">
        <v>2</v>
      </c>
      <c r="E53" s="591">
        <v>2</v>
      </c>
      <c r="F53" s="7" t="s">
        <v>2</v>
      </c>
      <c r="G53" s="41">
        <v>2</v>
      </c>
      <c r="H53" s="41" t="s">
        <v>2</v>
      </c>
      <c r="I53" s="41">
        <f>G53</f>
        <v>2</v>
      </c>
      <c r="J53" s="41" t="s">
        <v>2</v>
      </c>
      <c r="K53" s="41">
        <v>3</v>
      </c>
      <c r="L53" s="591" t="s">
        <v>3</v>
      </c>
      <c r="M53" s="41">
        <f t="shared" ref="M53:M54" si="0">C53*E53*G53*I53*K53</f>
        <v>96</v>
      </c>
      <c r="N53" s="63" t="s">
        <v>6</v>
      </c>
      <c r="O53" s="65"/>
      <c r="Q53" s="72"/>
    </row>
    <row r="54" spans="1:30" s="7" customFormat="1" ht="15.75">
      <c r="B54" s="75"/>
      <c r="C54" s="7">
        <f>C53</f>
        <v>4</v>
      </c>
      <c r="D54" s="7" t="s">
        <v>2</v>
      </c>
      <c r="E54" s="591">
        <v>2</v>
      </c>
      <c r="F54" s="7" t="s">
        <v>2</v>
      </c>
      <c r="G54" s="41">
        <v>1.5</v>
      </c>
      <c r="H54" s="41" t="s">
        <v>2</v>
      </c>
      <c r="I54" s="41">
        <f>G54</f>
        <v>1.5</v>
      </c>
      <c r="J54" s="41" t="s">
        <v>2</v>
      </c>
      <c r="K54" s="41">
        <v>7</v>
      </c>
      <c r="L54" s="591" t="s">
        <v>3</v>
      </c>
      <c r="M54" s="41">
        <f t="shared" si="0"/>
        <v>126</v>
      </c>
      <c r="N54" s="63" t="s">
        <v>6</v>
      </c>
      <c r="O54" s="73"/>
      <c r="Q54" s="72"/>
    </row>
    <row r="55" spans="1:30" s="7" customFormat="1" ht="15.75">
      <c r="M55" s="66">
        <f>SUM(M52:M54)</f>
        <v>297</v>
      </c>
      <c r="N55" s="63" t="s">
        <v>6</v>
      </c>
      <c r="O55" s="41"/>
      <c r="Q55" s="72"/>
    </row>
    <row r="56" spans="1:30" s="7" customFormat="1" ht="15.75">
      <c r="B56" s="68">
        <f>M55</f>
        <v>297</v>
      </c>
      <c r="C56" s="69" t="s">
        <v>6</v>
      </c>
      <c r="D56" s="69"/>
      <c r="E56" s="69"/>
      <c r="K56" s="143" t="s">
        <v>213</v>
      </c>
      <c r="L56" s="63">
        <v>337</v>
      </c>
      <c r="M56" s="7" t="s">
        <v>48</v>
      </c>
      <c r="N56" s="7" t="s">
        <v>16</v>
      </c>
      <c r="O56" s="72">
        <f>B56*L56</f>
        <v>100089</v>
      </c>
      <c r="AD56" s="7">
        <v>36059</v>
      </c>
    </row>
    <row r="57" spans="1:30" s="7" customFormat="1" ht="15.75">
      <c r="F57" s="923"/>
      <c r="G57" s="942"/>
      <c r="K57" s="41"/>
      <c r="L57" s="63"/>
      <c r="O57" s="72"/>
    </row>
    <row r="58" spans="1:30" s="7" customFormat="1" ht="15.75">
      <c r="A58" s="38">
        <v>6</v>
      </c>
      <c r="B58" s="7" t="s">
        <v>110</v>
      </c>
      <c r="L58" s="63"/>
      <c r="O58" s="72"/>
    </row>
    <row r="59" spans="1:30" s="7" customFormat="1" ht="15.75">
      <c r="A59" s="38"/>
      <c r="B59" s="7" t="s">
        <v>111</v>
      </c>
      <c r="L59" s="63"/>
      <c r="O59" s="72"/>
    </row>
    <row r="60" spans="1:30" s="7" customFormat="1" ht="15.75">
      <c r="A60" s="38"/>
      <c r="B60" s="7" t="s">
        <v>112</v>
      </c>
      <c r="L60" s="63"/>
      <c r="O60" s="72"/>
    </row>
    <row r="61" spans="1:30" s="7" customFormat="1" ht="15.75">
      <c r="B61" s="578">
        <f>B56</f>
        <v>297</v>
      </c>
      <c r="C61" s="7" t="s">
        <v>2</v>
      </c>
      <c r="E61" s="41">
        <v>4.5</v>
      </c>
      <c r="F61" s="7" t="s">
        <v>31</v>
      </c>
      <c r="G61" s="7">
        <v>112</v>
      </c>
      <c r="J61" s="7" t="s">
        <v>3</v>
      </c>
      <c r="K61" s="41">
        <f>(B61*E61)/G61</f>
        <v>11.933035714285714</v>
      </c>
      <c r="L61" s="63" t="s">
        <v>9</v>
      </c>
      <c r="O61" s="72"/>
    </row>
    <row r="62" spans="1:30" s="7" customFormat="1" ht="15.75">
      <c r="B62" s="68">
        <f>K61</f>
        <v>11.933035714285714</v>
      </c>
      <c r="C62" s="69" t="s">
        <v>9</v>
      </c>
      <c r="D62" s="69"/>
      <c r="E62" s="69"/>
      <c r="K62" s="272" t="str">
        <f>K56</f>
        <v>@Rs</v>
      </c>
      <c r="L62" s="576">
        <v>5001.7</v>
      </c>
      <c r="M62" s="7" t="s">
        <v>60</v>
      </c>
      <c r="N62" s="7" t="s">
        <v>16</v>
      </c>
      <c r="O62" s="72">
        <f>B62*L62</f>
        <v>59685.464732142849</v>
      </c>
      <c r="AD62" s="7">
        <v>21457</v>
      </c>
    </row>
    <row r="63" spans="1:30" s="7" customFormat="1" ht="15.75">
      <c r="L63" s="63"/>
      <c r="O63" s="72"/>
    </row>
    <row r="64" spans="1:30" ht="15.75">
      <c r="A64">
        <v>7</v>
      </c>
      <c r="B64" s="7" t="s">
        <v>584</v>
      </c>
      <c r="L64" s="13"/>
      <c r="O64" s="574"/>
    </row>
    <row r="65" spans="1:17">
      <c r="B65" s="560" t="s">
        <v>585</v>
      </c>
      <c r="L65" s="13"/>
      <c r="O65" s="574"/>
    </row>
    <row r="66" spans="1:17">
      <c r="B66" t="s">
        <v>586</v>
      </c>
      <c r="C66" t="s">
        <v>15</v>
      </c>
      <c r="D66" t="s">
        <v>15</v>
      </c>
      <c r="E66" t="s">
        <v>15</v>
      </c>
      <c r="F66" t="s">
        <v>15</v>
      </c>
      <c r="G66" t="s">
        <v>15</v>
      </c>
      <c r="H66" t="s">
        <v>15</v>
      </c>
      <c r="I66" t="s">
        <v>15</v>
      </c>
      <c r="K66" t="s">
        <v>15</v>
      </c>
      <c r="M66" s="2">
        <f>M8</f>
        <v>600</v>
      </c>
      <c r="N66" s="574" t="s">
        <v>10</v>
      </c>
      <c r="Q66" s="574"/>
    </row>
    <row r="67" spans="1:17">
      <c r="B67" s="49" t="s">
        <v>33</v>
      </c>
      <c r="C67" t="s">
        <v>15</v>
      </c>
      <c r="D67" t="s">
        <v>15</v>
      </c>
      <c r="E67" t="s">
        <v>15</v>
      </c>
      <c r="F67" t="s">
        <v>15</v>
      </c>
      <c r="G67" t="s">
        <v>15</v>
      </c>
      <c r="H67" t="s">
        <v>15</v>
      </c>
      <c r="I67" t="s">
        <v>15</v>
      </c>
      <c r="K67" t="s">
        <v>15</v>
      </c>
      <c r="M67" s="2" t="s">
        <v>15</v>
      </c>
      <c r="N67" s="574"/>
      <c r="Q67" s="574"/>
    </row>
    <row r="68" spans="1:17">
      <c r="A68" t="s">
        <v>15</v>
      </c>
      <c r="B68" t="s">
        <v>587</v>
      </c>
      <c r="C68">
        <f>C11</f>
        <v>2</v>
      </c>
      <c r="D68" s="6" t="s">
        <v>2</v>
      </c>
      <c r="E68">
        <v>10</v>
      </c>
      <c r="F68" t="s">
        <v>15</v>
      </c>
      <c r="G68" t="s">
        <v>15</v>
      </c>
      <c r="H68" t="s">
        <v>15</v>
      </c>
      <c r="I68" t="s">
        <v>15</v>
      </c>
      <c r="K68" t="s">
        <v>15</v>
      </c>
      <c r="M68" s="2">
        <f>C68*E68</f>
        <v>20</v>
      </c>
      <c r="N68" s="574" t="s">
        <v>10</v>
      </c>
      <c r="Q68" s="574"/>
    </row>
    <row r="69" spans="1:17">
      <c r="B69" t="s">
        <v>588</v>
      </c>
      <c r="C69">
        <f>C10</f>
        <v>4</v>
      </c>
      <c r="D69" t="s">
        <v>2</v>
      </c>
      <c r="E69">
        <v>1.5</v>
      </c>
      <c r="F69" s="664" t="s">
        <v>135</v>
      </c>
      <c r="G69" s="2">
        <v>1.5</v>
      </c>
      <c r="H69" t="s">
        <v>15</v>
      </c>
      <c r="I69" t="s">
        <v>15</v>
      </c>
      <c r="K69" t="s">
        <v>3</v>
      </c>
      <c r="M69" s="644">
        <v>18</v>
      </c>
      <c r="N69" s="574" t="s">
        <v>10</v>
      </c>
      <c r="Q69" s="574"/>
    </row>
    <row r="70" spans="1:17">
      <c r="M70" s="26">
        <f>SUM(M68:M69)</f>
        <v>38</v>
      </c>
      <c r="N70" s="574" t="s">
        <v>10</v>
      </c>
      <c r="Q70" s="574"/>
    </row>
    <row r="71" spans="1:17">
      <c r="B71" s="2">
        <f>M8</f>
        <v>600</v>
      </c>
      <c r="E71" s="6" t="s">
        <v>579</v>
      </c>
      <c r="G71" s="912">
        <f>M70</f>
        <v>38</v>
      </c>
      <c r="H71" s="913"/>
      <c r="L71" t="s">
        <v>21</v>
      </c>
      <c r="M71" s="56">
        <f>B71-G71</f>
        <v>562</v>
      </c>
      <c r="N71" s="574" t="s">
        <v>10</v>
      </c>
    </row>
    <row r="72" spans="1:17">
      <c r="B72" s="912">
        <f>M71</f>
        <v>562</v>
      </c>
      <c r="C72" s="913"/>
      <c r="D72" t="s">
        <v>31</v>
      </c>
      <c r="E72">
        <v>6.75</v>
      </c>
      <c r="F72" t="s">
        <v>21</v>
      </c>
      <c r="G72" s="2">
        <f>B72/6.75</f>
        <v>83.259259259259252</v>
      </c>
      <c r="H72" t="s">
        <v>15</v>
      </c>
      <c r="L72" s="6" t="s">
        <v>34</v>
      </c>
      <c r="M72" s="26">
        <v>83</v>
      </c>
      <c r="N72" s="25" t="s">
        <v>182</v>
      </c>
      <c r="Q72" s="574"/>
    </row>
    <row r="73" spans="1:17">
      <c r="B73" t="s">
        <v>589</v>
      </c>
      <c r="C73">
        <v>1</v>
      </c>
      <c r="D73" t="s">
        <v>2</v>
      </c>
      <c r="E73" s="215">
        <f>M72</f>
        <v>83</v>
      </c>
      <c r="F73" t="s">
        <v>2</v>
      </c>
      <c r="G73">
        <v>6</v>
      </c>
      <c r="H73" t="s">
        <v>2</v>
      </c>
      <c r="I73" s="570">
        <v>0.37</v>
      </c>
      <c r="J73" s="6" t="s">
        <v>2</v>
      </c>
      <c r="K73" s="572">
        <v>4</v>
      </c>
      <c r="M73" s="26">
        <f>C73*E73*G73*I73*4</f>
        <v>737.04</v>
      </c>
      <c r="N73" s="574" t="s">
        <v>6</v>
      </c>
      <c r="Q73" s="574"/>
    </row>
    <row r="74" spans="1:17">
      <c r="B74" t="s">
        <v>590</v>
      </c>
      <c r="C74" s="645">
        <f>M72</f>
        <v>83</v>
      </c>
      <c r="D74" t="s">
        <v>2</v>
      </c>
      <c r="E74">
        <v>0.75</v>
      </c>
      <c r="F74" t="s">
        <v>2</v>
      </c>
      <c r="G74">
        <v>0.75</v>
      </c>
      <c r="H74" t="s">
        <v>2</v>
      </c>
      <c r="I74" s="572">
        <v>4</v>
      </c>
      <c r="K74" t="s">
        <v>3</v>
      </c>
      <c r="M74" s="646">
        <f>C74*E74*G74*I74</f>
        <v>186.75</v>
      </c>
      <c r="N74" s="574" t="s">
        <v>6</v>
      </c>
      <c r="Q74" s="574"/>
    </row>
    <row r="75" spans="1:17">
      <c r="M75" s="56">
        <f>SUM(M73:M74)</f>
        <v>923.79</v>
      </c>
      <c r="N75" s="574" t="s">
        <v>6</v>
      </c>
      <c r="Q75" s="574"/>
    </row>
    <row r="76" spans="1:17">
      <c r="B76" s="85">
        <f>M75</f>
        <v>923.79</v>
      </c>
      <c r="C76" s="624" t="str">
        <f>N75</f>
        <v>Cft</v>
      </c>
      <c r="D76" s="624"/>
      <c r="E76" s="624"/>
      <c r="K76" s="647" t="s">
        <v>213</v>
      </c>
      <c r="L76" s="27">
        <v>12346.65</v>
      </c>
      <c r="M76" s="6" t="s">
        <v>12</v>
      </c>
      <c r="N76" s="6" t="s">
        <v>16</v>
      </c>
      <c r="O76" s="28">
        <f>B76*L76/100</f>
        <v>114057.11803499999</v>
      </c>
    </row>
    <row r="77" spans="1:17">
      <c r="B77" s="85"/>
      <c r="C77" s="624"/>
      <c r="D77" s="624"/>
      <c r="E77" s="624"/>
      <c r="K77" s="583"/>
      <c r="L77" s="27"/>
      <c r="M77" s="6"/>
      <c r="N77" s="6"/>
      <c r="O77" s="28"/>
    </row>
    <row r="78" spans="1:17">
      <c r="A78">
        <v>8</v>
      </c>
      <c r="B78" t="s">
        <v>591</v>
      </c>
      <c r="L78" s="13"/>
      <c r="O78" s="574"/>
    </row>
    <row r="79" spans="1:17" ht="15" customHeight="1">
      <c r="B79" s="6" t="s">
        <v>592</v>
      </c>
      <c r="C79">
        <v>1</v>
      </c>
      <c r="D79" t="s">
        <v>2</v>
      </c>
      <c r="E79">
        <f>C74</f>
        <v>83</v>
      </c>
      <c r="F79" t="s">
        <v>2</v>
      </c>
      <c r="G79" s="572">
        <v>6</v>
      </c>
      <c r="H79" t="s">
        <v>2</v>
      </c>
      <c r="I79" s="655">
        <v>4</v>
      </c>
      <c r="K79" t="s">
        <v>3</v>
      </c>
      <c r="M79" s="2">
        <f>E79*G79*I79</f>
        <v>1992</v>
      </c>
      <c r="N79" s="574" t="s">
        <v>8</v>
      </c>
      <c r="Q79" s="574"/>
    </row>
    <row r="80" spans="1:17" ht="15" customHeight="1">
      <c r="B80" s="6" t="s">
        <v>590</v>
      </c>
      <c r="C80" s="6">
        <f>C74</f>
        <v>83</v>
      </c>
      <c r="D80" s="6" t="s">
        <v>2</v>
      </c>
      <c r="E80" s="26">
        <v>1.5</v>
      </c>
      <c r="F80" s="6" t="s">
        <v>2</v>
      </c>
      <c r="G80" s="660">
        <v>4</v>
      </c>
      <c r="H80" s="6" t="s">
        <v>15</v>
      </c>
      <c r="I80" s="6"/>
      <c r="J80" s="6"/>
      <c r="K80" s="6" t="s">
        <v>3</v>
      </c>
      <c r="L80" s="6"/>
      <c r="M80" s="26">
        <f>C80*E80*G80</f>
        <v>498</v>
      </c>
      <c r="N80" s="574" t="s">
        <v>8</v>
      </c>
      <c r="Q80" s="574"/>
    </row>
    <row r="81" spans="1:17" ht="15" customHeight="1">
      <c r="B81" s="6" t="s">
        <v>593</v>
      </c>
      <c r="C81" s="6">
        <v>1</v>
      </c>
      <c r="D81" s="6" t="s">
        <v>2</v>
      </c>
      <c r="E81" s="214">
        <v>2</v>
      </c>
      <c r="F81" s="6" t="s">
        <v>2</v>
      </c>
      <c r="G81" s="582">
        <f>M71</f>
        <v>562</v>
      </c>
      <c r="H81" s="6" t="s">
        <v>2</v>
      </c>
      <c r="I81" s="214">
        <v>3</v>
      </c>
      <c r="J81" s="6"/>
      <c r="K81" s="6" t="s">
        <v>3</v>
      </c>
      <c r="L81" s="6"/>
      <c r="M81" s="26">
        <f>C81*E81*G81*I81</f>
        <v>3372</v>
      </c>
      <c r="N81" s="574" t="s">
        <v>8</v>
      </c>
      <c r="Q81" s="574"/>
    </row>
    <row r="82" spans="1:17" ht="15" customHeight="1">
      <c r="B82" t="s">
        <v>15</v>
      </c>
      <c r="C82" t="s">
        <v>15</v>
      </c>
      <c r="D82" t="s">
        <v>15</v>
      </c>
      <c r="E82" t="s">
        <v>15</v>
      </c>
      <c r="K82" t="s">
        <v>15</v>
      </c>
      <c r="M82" s="56">
        <f>SUM(M79:M81)</f>
        <v>5862</v>
      </c>
      <c r="N82" s="574" t="s">
        <v>8</v>
      </c>
      <c r="Q82" s="574"/>
    </row>
    <row r="83" spans="1:17">
      <c r="B83" s="85">
        <f>M82</f>
        <v>5862</v>
      </c>
      <c r="C83" s="624" t="str">
        <f>N82</f>
        <v>Sft</v>
      </c>
      <c r="D83" s="624"/>
      <c r="E83" s="624"/>
      <c r="K83" s="583" t="str">
        <f>K76</f>
        <v>@Rs</v>
      </c>
      <c r="L83" s="13">
        <v>2206.6</v>
      </c>
      <c r="M83" t="s">
        <v>7</v>
      </c>
      <c r="N83" t="s">
        <v>16</v>
      </c>
      <c r="O83" s="10">
        <f>B83*L83/100</f>
        <v>129350.89199999999</v>
      </c>
    </row>
    <row r="84" spans="1:17">
      <c r="B84" s="570"/>
      <c r="C84" s="570"/>
      <c r="D84" s="570"/>
      <c r="E84" s="570"/>
      <c r="K84" s="585"/>
      <c r="L84" s="13"/>
      <c r="O84" s="10"/>
    </row>
    <row r="85" spans="1:17">
      <c r="A85">
        <v>9</v>
      </c>
      <c r="B85" t="s">
        <v>594</v>
      </c>
      <c r="C85" s="570"/>
      <c r="D85" s="570"/>
      <c r="E85" s="570"/>
      <c r="K85" s="585"/>
      <c r="L85" s="13"/>
      <c r="O85" s="10"/>
    </row>
    <row r="86" spans="1:17" ht="19.5" customHeight="1">
      <c r="B86" s="85">
        <f>B83</f>
        <v>5862</v>
      </c>
      <c r="C86" s="624" t="str">
        <f>C83</f>
        <v>Sft</v>
      </c>
      <c r="D86" s="624"/>
      <c r="E86" s="624"/>
      <c r="K86" s="583" t="str">
        <f>K83</f>
        <v>@Rs</v>
      </c>
      <c r="L86" s="13">
        <v>2197.52</v>
      </c>
      <c r="M86" t="s">
        <v>7</v>
      </c>
      <c r="N86" t="s">
        <v>16</v>
      </c>
      <c r="O86" s="10">
        <f>B86*L86/100</f>
        <v>128818.62240000001</v>
      </c>
    </row>
    <row r="87" spans="1:17">
      <c r="B87" s="85"/>
      <c r="C87" s="624"/>
      <c r="D87" s="624"/>
      <c r="E87" s="624"/>
      <c r="K87" s="661"/>
      <c r="L87" s="13"/>
      <c r="O87" s="10"/>
    </row>
    <row r="88" spans="1:17">
      <c r="C88" s="570"/>
      <c r="D88" s="570"/>
      <c r="E88" s="570"/>
      <c r="K88" s="585"/>
      <c r="L88" s="13"/>
      <c r="O88" s="10"/>
    </row>
    <row r="89" spans="1:17">
      <c r="A89">
        <v>10</v>
      </c>
      <c r="B89" t="s">
        <v>595</v>
      </c>
      <c r="L89" s="13"/>
      <c r="O89" s="574"/>
    </row>
    <row r="90" spans="1:17">
      <c r="B90" t="s">
        <v>596</v>
      </c>
      <c r="C90">
        <v>1</v>
      </c>
      <c r="D90" t="s">
        <v>2</v>
      </c>
      <c r="E90" s="645">
        <f>M72</f>
        <v>83</v>
      </c>
      <c r="F90" t="s">
        <v>2</v>
      </c>
      <c r="G90">
        <v>6</v>
      </c>
      <c r="H90" s="6" t="s">
        <v>2</v>
      </c>
      <c r="I90" s="570">
        <v>4</v>
      </c>
      <c r="J90" t="s">
        <v>3</v>
      </c>
      <c r="M90" s="2">
        <f>C90*E90*G90*I90</f>
        <v>1992</v>
      </c>
      <c r="N90" s="13" t="s">
        <v>8</v>
      </c>
      <c r="Q90" s="574"/>
    </row>
    <row r="91" spans="1:17">
      <c r="B91" s="85">
        <f>M90</f>
        <v>1992</v>
      </c>
      <c r="C91" s="624" t="str">
        <f>N90</f>
        <v>Sft</v>
      </c>
      <c r="D91" s="624"/>
      <c r="E91" s="624"/>
      <c r="K91" s="583" t="str">
        <f>K86</f>
        <v>@Rs</v>
      </c>
      <c r="L91" s="27">
        <v>1213.58</v>
      </c>
      <c r="M91" s="6" t="s">
        <v>7</v>
      </c>
      <c r="N91" s="6" t="s">
        <v>16</v>
      </c>
      <c r="O91" s="10">
        <f>B91*L91/100</f>
        <v>24174.513599999998</v>
      </c>
    </row>
    <row r="92" spans="1:17">
      <c r="L92" s="574"/>
      <c r="O92" s="574"/>
    </row>
    <row r="93" spans="1:17">
      <c r="A93" s="43">
        <v>11</v>
      </c>
      <c r="B93" s="43" t="s">
        <v>597</v>
      </c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O93" s="574"/>
    </row>
    <row r="94" spans="1:17">
      <c r="A94" s="43"/>
      <c r="B94" s="43" t="s">
        <v>598</v>
      </c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O94" s="574"/>
    </row>
    <row r="95" spans="1:17">
      <c r="B95" t="s">
        <v>536</v>
      </c>
      <c r="C95">
        <v>2</v>
      </c>
      <c r="D95" t="s">
        <v>2</v>
      </c>
      <c r="E95" s="570">
        <v>6</v>
      </c>
      <c r="F95" t="s">
        <v>2</v>
      </c>
      <c r="G95">
        <v>10</v>
      </c>
      <c r="K95" t="s">
        <v>3</v>
      </c>
      <c r="M95" s="2">
        <f>C95*E95*G95</f>
        <v>120</v>
      </c>
      <c r="N95" s="574" t="s">
        <v>8</v>
      </c>
      <c r="Q95" s="574"/>
    </row>
    <row r="96" spans="1:17">
      <c r="B96" s="624">
        <f>M95</f>
        <v>120</v>
      </c>
      <c r="C96" s="624" t="str">
        <f>N95</f>
        <v>Sft</v>
      </c>
      <c r="D96" s="624"/>
      <c r="E96" s="624"/>
      <c r="K96" s="573" t="str">
        <f>K91</f>
        <v>@Rs</v>
      </c>
      <c r="L96" s="13">
        <v>726.72</v>
      </c>
      <c r="M96" t="s">
        <v>556</v>
      </c>
      <c r="N96" t="s">
        <v>16</v>
      </c>
      <c r="O96" s="10">
        <f>B96*L96</f>
        <v>87206.400000000009</v>
      </c>
    </row>
    <row r="97" spans="1:17">
      <c r="L97" s="13"/>
      <c r="O97" s="574"/>
    </row>
    <row r="98" spans="1:17">
      <c r="A98">
        <v>12</v>
      </c>
      <c r="B98" s="49" t="s">
        <v>562</v>
      </c>
      <c r="L98" s="13"/>
      <c r="O98" s="574"/>
    </row>
    <row r="99" spans="1:17">
      <c r="B99" s="43" t="s">
        <v>599</v>
      </c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O99" s="574"/>
    </row>
    <row r="100" spans="1:17">
      <c r="B100" s="43" t="s">
        <v>600</v>
      </c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O100" s="574"/>
    </row>
    <row r="101" spans="1:17">
      <c r="C101">
        <v>2</v>
      </c>
      <c r="D101" t="s">
        <v>2</v>
      </c>
      <c r="E101">
        <f>B96</f>
        <v>120</v>
      </c>
      <c r="K101" t="s">
        <v>21</v>
      </c>
      <c r="M101" s="2">
        <f>C101*E101</f>
        <v>240</v>
      </c>
      <c r="N101" s="574" t="s">
        <v>8</v>
      </c>
      <c r="Q101" s="574"/>
    </row>
    <row r="102" spans="1:17">
      <c r="B102" s="624">
        <f>M101</f>
        <v>240</v>
      </c>
      <c r="C102" s="624" t="str">
        <f>N101</f>
        <v>Sft</v>
      </c>
      <c r="D102" s="624"/>
      <c r="E102" s="624"/>
      <c r="K102" s="573" t="str">
        <f>K96</f>
        <v>@Rs</v>
      </c>
      <c r="L102" s="13">
        <v>1489.68</v>
      </c>
      <c r="M102" t="s">
        <v>7</v>
      </c>
      <c r="N102" t="s">
        <v>16</v>
      </c>
      <c r="O102" s="10">
        <f>B102*L102/100</f>
        <v>3575.232</v>
      </c>
    </row>
    <row r="103" spans="1:17">
      <c r="B103" s="570"/>
      <c r="C103" s="570"/>
      <c r="D103" s="570"/>
      <c r="E103" s="570"/>
      <c r="K103" s="2"/>
      <c r="L103" s="13"/>
      <c r="O103" s="10"/>
    </row>
    <row r="104" spans="1:17">
      <c r="B104" s="654"/>
      <c r="C104" s="654"/>
      <c r="D104" s="654"/>
      <c r="E104" s="654"/>
      <c r="K104" s="2"/>
      <c r="L104" s="13"/>
      <c r="O104" s="10"/>
    </row>
    <row r="105" spans="1:17">
      <c r="B105" s="654"/>
      <c r="C105" s="654"/>
      <c r="D105" s="654"/>
      <c r="E105" s="654"/>
      <c r="K105" s="2"/>
      <c r="L105" s="13"/>
      <c r="O105" s="10"/>
    </row>
    <row r="106" spans="1:17" ht="15.75">
      <c r="A106">
        <v>13</v>
      </c>
      <c r="B106" s="7" t="s">
        <v>601</v>
      </c>
      <c r="L106" s="13"/>
      <c r="O106" s="574"/>
    </row>
    <row r="107" spans="1:17">
      <c r="B107" s="6" t="s">
        <v>602</v>
      </c>
      <c r="H107" s="912">
        <f>B86</f>
        <v>5862</v>
      </c>
      <c r="I107" s="912"/>
      <c r="J107" s="6" t="s">
        <v>135</v>
      </c>
      <c r="K107" s="215">
        <f>B91</f>
        <v>1992</v>
      </c>
      <c r="M107" s="26">
        <f>H107+K107</f>
        <v>7854</v>
      </c>
      <c r="N107" s="574" t="s">
        <v>8</v>
      </c>
      <c r="Q107" s="574"/>
    </row>
    <row r="108" spans="1:17">
      <c r="B108" s="6" t="s">
        <v>603</v>
      </c>
      <c r="E108">
        <v>8</v>
      </c>
      <c r="F108" s="6" t="s">
        <v>2</v>
      </c>
      <c r="G108" s="570">
        <v>4</v>
      </c>
      <c r="H108" s="6" t="s">
        <v>2</v>
      </c>
      <c r="I108" s="2">
        <v>1.5</v>
      </c>
      <c r="J108" s="6" t="s">
        <v>2</v>
      </c>
      <c r="K108">
        <v>7</v>
      </c>
      <c r="L108" s="6" t="s">
        <v>21</v>
      </c>
      <c r="M108" s="26">
        <f>E108*G108*I108*K108</f>
        <v>336</v>
      </c>
      <c r="N108" s="574" t="s">
        <v>8</v>
      </c>
      <c r="Q108" s="574"/>
    </row>
    <row r="109" spans="1:17">
      <c r="M109" s="56">
        <f>SUM(M107:M108)</f>
        <v>8190</v>
      </c>
      <c r="N109" s="574" t="s">
        <v>8</v>
      </c>
      <c r="Q109" s="574"/>
    </row>
    <row r="110" spans="1:17">
      <c r="B110" s="85">
        <f>M109</f>
        <v>8190</v>
      </c>
      <c r="C110" s="624" t="str">
        <f>N107</f>
        <v>Sft</v>
      </c>
      <c r="D110" s="624"/>
      <c r="E110" s="624"/>
      <c r="K110" s="573" t="str">
        <f>K102</f>
        <v>@Rs</v>
      </c>
      <c r="L110" s="13">
        <v>442.75</v>
      </c>
      <c r="M110" t="s">
        <v>7</v>
      </c>
      <c r="N110" t="s">
        <v>16</v>
      </c>
      <c r="O110" s="10">
        <f>B110*L110/100</f>
        <v>36261.224999999999</v>
      </c>
    </row>
    <row r="111" spans="1:17">
      <c r="L111" s="13"/>
      <c r="O111" s="574"/>
    </row>
    <row r="112" spans="1:17" ht="15.75">
      <c r="A112">
        <v>14</v>
      </c>
      <c r="B112" s="7" t="s">
        <v>604</v>
      </c>
      <c r="L112" s="13"/>
      <c r="O112" s="574"/>
    </row>
    <row r="113" spans="1:17">
      <c r="B113" s="6" t="s">
        <v>605</v>
      </c>
      <c r="E113" s="570"/>
      <c r="M113" s="2">
        <f>B110</f>
        <v>8190</v>
      </c>
      <c r="N113" s="574" t="s">
        <v>8</v>
      </c>
      <c r="Q113" s="574"/>
    </row>
    <row r="114" spans="1:17" ht="16.5" customHeight="1">
      <c r="M114" s="56">
        <f>M113</f>
        <v>8190</v>
      </c>
      <c r="N114" s="574" t="s">
        <v>8</v>
      </c>
      <c r="Q114" s="574"/>
    </row>
    <row r="115" spans="1:17">
      <c r="M115" s="56"/>
      <c r="N115" s="657"/>
      <c r="Q115" s="657"/>
    </row>
    <row r="116" spans="1:17">
      <c r="B116" s="85">
        <f>M114</f>
        <v>8190</v>
      </c>
      <c r="C116" s="624" t="str">
        <f>N114</f>
        <v>Sft</v>
      </c>
      <c r="D116" s="624"/>
      <c r="E116" s="624"/>
      <c r="K116" s="573" t="str">
        <f>K110</f>
        <v>@Rs</v>
      </c>
      <c r="L116" s="13">
        <v>1043.9000000000001</v>
      </c>
      <c r="M116" t="s">
        <v>7</v>
      </c>
      <c r="N116" s="274" t="s">
        <v>16</v>
      </c>
      <c r="O116" s="619">
        <f>B116*L116/100</f>
        <v>85495.41</v>
      </c>
    </row>
    <row r="117" spans="1:17" ht="26.25" customHeight="1">
      <c r="L117" s="13"/>
      <c r="M117" s="3" t="s">
        <v>4</v>
      </c>
      <c r="N117" s="3" t="s">
        <v>16</v>
      </c>
      <c r="O117" s="8">
        <f>SUM(O17:O116)</f>
        <v>1221413.5534951428</v>
      </c>
    </row>
    <row r="118" spans="1:17">
      <c r="A118" t="s">
        <v>15</v>
      </c>
      <c r="L118" s="13"/>
    </row>
    <row r="119" spans="1:17">
      <c r="L119" s="13"/>
    </row>
    <row r="120" spans="1:17">
      <c r="A120" s="648"/>
      <c r="I120" t="s">
        <v>516</v>
      </c>
      <c r="N120" t="s">
        <v>5</v>
      </c>
      <c r="O120" s="10">
        <f>O117*33.7/100</f>
        <v>411616.36752786319</v>
      </c>
    </row>
    <row r="121" spans="1:17">
      <c r="A121" s="648"/>
    </row>
    <row r="122" spans="1:17">
      <c r="A122" s="648"/>
      <c r="N122" s="274"/>
      <c r="O122" s="274"/>
    </row>
    <row r="123" spans="1:17">
      <c r="A123" s="648"/>
    </row>
    <row r="124" spans="1:17">
      <c r="A124" s="648"/>
      <c r="M124" t="s">
        <v>185</v>
      </c>
      <c r="N124" s="18" t="s">
        <v>402</v>
      </c>
      <c r="O124" s="566">
        <f>SUM(O116:O123)</f>
        <v>1718525.331023006</v>
      </c>
    </row>
    <row r="125" spans="1:17">
      <c r="A125" s="648"/>
    </row>
    <row r="126" spans="1:17">
      <c r="A126" s="666"/>
    </row>
    <row r="127" spans="1:17">
      <c r="A127" s="648"/>
    </row>
    <row r="128" spans="1:17">
      <c r="A128" s="648"/>
    </row>
    <row r="129" spans="1:15" s="73" customFormat="1" ht="15.75">
      <c r="A129" s="651"/>
      <c r="B129" s="920" t="s">
        <v>369</v>
      </c>
      <c r="C129" s="920"/>
      <c r="D129" s="920"/>
      <c r="E129" s="920"/>
      <c r="F129" s="920"/>
      <c r="G129" s="920"/>
      <c r="H129" s="920"/>
      <c r="I129" s="920"/>
      <c r="J129" s="920"/>
      <c r="L129" s="920" t="s">
        <v>333</v>
      </c>
      <c r="M129" s="920"/>
      <c r="N129" s="920"/>
      <c r="O129" s="920"/>
    </row>
    <row r="130" spans="1:15" s="7" customFormat="1" ht="15.75">
      <c r="A130" s="652"/>
      <c r="B130" s="942" t="s">
        <v>334</v>
      </c>
      <c r="C130" s="942"/>
      <c r="D130" s="942"/>
      <c r="E130" s="942"/>
      <c r="F130" s="942"/>
      <c r="G130" s="942"/>
      <c r="H130" s="942"/>
      <c r="I130" s="942"/>
      <c r="J130" s="942"/>
      <c r="L130" s="942" t="s">
        <v>370</v>
      </c>
      <c r="M130" s="942"/>
      <c r="N130" s="942"/>
      <c r="O130" s="942"/>
    </row>
    <row r="131" spans="1:15" s="7" customFormat="1" ht="15.75">
      <c r="A131" s="652"/>
      <c r="B131" s="942" t="s">
        <v>236</v>
      </c>
      <c r="C131" s="942"/>
      <c r="D131" s="942"/>
      <c r="E131" s="942"/>
      <c r="F131" s="942"/>
      <c r="G131" s="942"/>
      <c r="H131" s="942"/>
      <c r="I131" s="942"/>
      <c r="J131" s="942"/>
      <c r="L131" s="942" t="s">
        <v>236</v>
      </c>
      <c r="M131" s="942"/>
      <c r="N131" s="942"/>
      <c r="O131" s="942"/>
    </row>
  </sheetData>
  <mergeCells count="17">
    <mergeCell ref="B131:F131"/>
    <mergeCell ref="G131:J131"/>
    <mergeCell ref="L131:O131"/>
    <mergeCell ref="B129:F129"/>
    <mergeCell ref="G129:J129"/>
    <mergeCell ref="L129:O129"/>
    <mergeCell ref="B130:F130"/>
    <mergeCell ref="G130:J130"/>
    <mergeCell ref="L130:O130"/>
    <mergeCell ref="B72:C72"/>
    <mergeCell ref="H107:I107"/>
    <mergeCell ref="A1:O2"/>
    <mergeCell ref="G13:H13"/>
    <mergeCell ref="B14:C14"/>
    <mergeCell ref="B21:C21"/>
    <mergeCell ref="F57:G57"/>
    <mergeCell ref="G71:H71"/>
  </mergeCells>
  <pageMargins left="0.7" right="0.4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activeCell="D11" sqref="D11"/>
    </sheetView>
  </sheetViews>
  <sheetFormatPr defaultRowHeight="12.75"/>
  <cols>
    <col min="1" max="1" width="7.28515625" customWidth="1"/>
    <col min="2" max="2" width="22.28515625" customWidth="1"/>
    <col min="3" max="4" width="14.28515625" customWidth="1"/>
    <col min="6" max="6" width="4.42578125" customWidth="1"/>
    <col min="7" max="7" width="15.42578125" customWidth="1"/>
    <col min="8" max="8" width="1.28515625" customWidth="1"/>
  </cols>
  <sheetData>
    <row r="1" spans="1:8" ht="18">
      <c r="A1" s="908" t="s">
        <v>336</v>
      </c>
      <c r="B1" s="908"/>
      <c r="C1" s="908"/>
      <c r="D1" s="908"/>
      <c r="E1" s="908"/>
      <c r="F1" s="908"/>
      <c r="G1" s="908"/>
      <c r="H1" s="908"/>
    </row>
    <row r="2" spans="1:8" ht="75.75" customHeight="1">
      <c r="A2" s="909" t="s">
        <v>655</v>
      </c>
      <c r="B2" s="909"/>
      <c r="C2" s="909"/>
      <c r="D2" s="909"/>
      <c r="E2" s="909"/>
      <c r="F2" s="909"/>
      <c r="G2" s="909"/>
      <c r="H2" s="909"/>
    </row>
    <row r="3" spans="1:8" ht="27" customHeight="1">
      <c r="A3" s="910" t="s">
        <v>340</v>
      </c>
      <c r="B3" s="910"/>
      <c r="C3" s="910"/>
      <c r="D3" s="910"/>
      <c r="E3" s="910"/>
      <c r="F3" s="910"/>
      <c r="G3" s="910"/>
    </row>
    <row r="5" spans="1:8" ht="15.75">
      <c r="A5" s="911" t="s">
        <v>338</v>
      </c>
      <c r="B5" s="911"/>
      <c r="C5" s="911"/>
      <c r="D5" s="911"/>
      <c r="E5" s="911"/>
      <c r="F5" s="911"/>
      <c r="G5" s="911"/>
      <c r="H5" s="911"/>
    </row>
    <row r="6" spans="1:8">
      <c r="B6" s="22"/>
      <c r="C6" s="22"/>
      <c r="D6" s="22"/>
      <c r="E6" s="22"/>
      <c r="F6" s="22"/>
      <c r="G6" s="22"/>
      <c r="H6" s="22"/>
    </row>
    <row r="8" spans="1:8" s="43" customFormat="1" ht="26.25" customHeight="1">
      <c r="A8" s="169">
        <v>1</v>
      </c>
      <c r="B8" s="906" t="s">
        <v>656</v>
      </c>
      <c r="C8" s="907"/>
      <c r="D8" s="907"/>
      <c r="E8" s="907"/>
      <c r="F8" s="43" t="s">
        <v>16</v>
      </c>
      <c r="G8" s="44">
        <v>11856178</v>
      </c>
    </row>
    <row r="9" spans="1:8" s="43" customFormat="1" ht="26.25" customHeight="1">
      <c r="A9" s="169">
        <v>2</v>
      </c>
      <c r="B9" s="906" t="s">
        <v>657</v>
      </c>
      <c r="C9" s="907"/>
      <c r="D9" s="907"/>
      <c r="E9" s="907"/>
      <c r="F9" s="43" t="s">
        <v>16</v>
      </c>
      <c r="G9" s="44">
        <v>29219596</v>
      </c>
    </row>
    <row r="10" spans="1:8" s="43" customFormat="1" ht="15.75" customHeight="1">
      <c r="A10" s="169"/>
      <c r="B10" s="906"/>
      <c r="C10" s="907"/>
      <c r="D10" s="907"/>
      <c r="E10" s="907"/>
      <c r="F10" s="382"/>
      <c r="G10" s="383"/>
    </row>
    <row r="11" spans="1:8" s="43" customFormat="1" ht="23.25" customHeight="1">
      <c r="E11" s="45" t="s">
        <v>4</v>
      </c>
      <c r="F11" s="45" t="s">
        <v>16</v>
      </c>
      <c r="G11" s="46">
        <f>SUM(G8:G10)</f>
        <v>41075774</v>
      </c>
    </row>
    <row r="12" spans="1:8" s="45" customFormat="1" ht="38.25" customHeight="1">
      <c r="E12" s="45" t="s">
        <v>34</v>
      </c>
      <c r="F12" s="45" t="s">
        <v>16</v>
      </c>
      <c r="G12" s="730">
        <v>41075500</v>
      </c>
    </row>
    <row r="13" spans="1:8" s="43" customFormat="1" ht="35.25" customHeight="1"/>
    <row r="14" spans="1:8" ht="26.25" customHeight="1"/>
  </sheetData>
  <mergeCells count="7">
    <mergeCell ref="B10:E10"/>
    <mergeCell ref="A1:H1"/>
    <mergeCell ref="A2:H2"/>
    <mergeCell ref="A3:G3"/>
    <mergeCell ref="A5:H5"/>
    <mergeCell ref="B8:E8"/>
    <mergeCell ref="B9:E9"/>
  </mergeCells>
  <pageMargins left="0.94" right="0.23" top="0.38" bottom="0.19" header="0.3" footer="0.3"/>
  <pageSetup paperSize="9" orientation="portrait" horizontalDpi="300" verticalDpi="3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rgb="FFFF0000"/>
  </sheetPr>
  <dimension ref="A1:Q197"/>
  <sheetViews>
    <sheetView topLeftCell="A88" workbookViewId="0">
      <selection activeCell="H98" sqref="H98"/>
    </sheetView>
  </sheetViews>
  <sheetFormatPr defaultRowHeight="12.75"/>
  <cols>
    <col min="1" max="1" width="3.5703125" customWidth="1"/>
    <col min="2" max="2" width="8.28515625" customWidth="1"/>
    <col min="3" max="3" width="2.5703125" customWidth="1"/>
    <col min="4" max="4" width="2.140625" customWidth="1"/>
    <col min="5" max="5" width="6" customWidth="1"/>
    <col min="6" max="6" width="3.140625" customWidth="1"/>
    <col min="7" max="7" width="8" customWidth="1"/>
    <col min="8" max="8" width="4.5703125" customWidth="1"/>
    <col min="9" max="9" width="7" customWidth="1"/>
    <col min="10" max="10" width="3" customWidth="1"/>
    <col min="11" max="11" width="6.140625" customWidth="1"/>
    <col min="12" max="12" width="4.140625" customWidth="1"/>
    <col min="14" max="14" width="9.85546875" customWidth="1"/>
    <col min="15" max="15" width="6.42578125" customWidth="1"/>
    <col min="16" max="16" width="3.85546875" customWidth="1"/>
  </cols>
  <sheetData>
    <row r="1" spans="1:17">
      <c r="A1" s="924" t="s">
        <v>518</v>
      </c>
      <c r="B1" s="924"/>
      <c r="C1" s="924"/>
      <c r="D1" s="924"/>
      <c r="E1" s="924"/>
      <c r="F1" s="924"/>
      <c r="G1" s="924"/>
      <c r="H1" s="924"/>
      <c r="I1" s="924"/>
      <c r="J1" s="924"/>
      <c r="K1" s="924"/>
      <c r="L1" s="924"/>
      <c r="M1" s="924"/>
      <c r="N1" s="924"/>
      <c r="O1" s="924"/>
      <c r="P1" s="924"/>
      <c r="Q1" s="924"/>
    </row>
    <row r="2" spans="1:17">
      <c r="A2" s="924"/>
      <c r="B2" s="924"/>
      <c r="C2" s="924"/>
      <c r="D2" s="924"/>
      <c r="E2" s="924"/>
      <c r="F2" s="924"/>
      <c r="G2" s="924"/>
      <c r="H2" s="924"/>
      <c r="I2" s="924"/>
      <c r="J2" s="924"/>
      <c r="K2" s="924"/>
      <c r="L2" s="924"/>
      <c r="M2" s="924"/>
      <c r="N2" s="924"/>
      <c r="O2" s="924"/>
      <c r="P2" s="924"/>
      <c r="Q2" s="924"/>
    </row>
    <row r="3" spans="1:17" ht="15.75">
      <c r="A3" s="7">
        <v>1</v>
      </c>
      <c r="B3" s="7" t="s">
        <v>95</v>
      </c>
      <c r="C3" s="7"/>
      <c r="D3" s="7"/>
      <c r="E3" s="591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65"/>
    </row>
    <row r="4" spans="1:17" ht="15.75">
      <c r="A4" s="7"/>
      <c r="B4" s="7" t="s">
        <v>96</v>
      </c>
      <c r="C4" s="7"/>
      <c r="D4" s="7"/>
      <c r="E4" s="591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65"/>
    </row>
    <row r="5" spans="1:17" ht="15.75">
      <c r="A5" s="7"/>
      <c r="B5" s="7" t="s">
        <v>97</v>
      </c>
      <c r="C5" s="7"/>
      <c r="D5" s="7"/>
      <c r="E5" s="591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65"/>
    </row>
    <row r="6" spans="1:17" ht="11.25" customHeight="1">
      <c r="A6" s="7"/>
      <c r="B6" s="20" t="s">
        <v>519</v>
      </c>
      <c r="C6" s="7"/>
      <c r="D6" s="7"/>
      <c r="E6" s="591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65"/>
    </row>
    <row r="7" spans="1:17" ht="15.75">
      <c r="A7" s="7"/>
      <c r="B7" s="7" t="s">
        <v>98</v>
      </c>
      <c r="C7" s="7">
        <v>1</v>
      </c>
      <c r="D7" s="7" t="s">
        <v>2</v>
      </c>
      <c r="E7" s="591">
        <v>2</v>
      </c>
      <c r="F7" s="7" t="s">
        <v>2</v>
      </c>
      <c r="G7" s="7">
        <v>20.75</v>
      </c>
      <c r="H7" s="7" t="s">
        <v>2</v>
      </c>
      <c r="I7" s="238">
        <v>2</v>
      </c>
      <c r="J7" s="7" t="s">
        <v>2</v>
      </c>
      <c r="K7" s="238">
        <v>2</v>
      </c>
      <c r="L7" s="7" t="s">
        <v>3</v>
      </c>
      <c r="M7" s="41">
        <f>C7*E7*G7*I7*K7</f>
        <v>166</v>
      </c>
      <c r="N7" s="63" t="s">
        <v>18</v>
      </c>
      <c r="O7" s="7"/>
      <c r="P7" s="7"/>
      <c r="Q7" s="65" t="s">
        <v>15</v>
      </c>
    </row>
    <row r="8" spans="1:17" ht="15.75">
      <c r="A8" s="7"/>
      <c r="B8" s="7" t="s">
        <v>99</v>
      </c>
      <c r="C8" s="7">
        <f>C7</f>
        <v>1</v>
      </c>
      <c r="D8" s="7" t="s">
        <v>2</v>
      </c>
      <c r="E8" s="591">
        <v>2</v>
      </c>
      <c r="F8" s="7" t="s">
        <v>2</v>
      </c>
      <c r="G8" s="7">
        <v>12.75</v>
      </c>
      <c r="H8" s="7" t="s">
        <v>2</v>
      </c>
      <c r="I8" s="238">
        <v>2</v>
      </c>
      <c r="J8" s="7" t="s">
        <v>2</v>
      </c>
      <c r="K8" s="238">
        <v>2</v>
      </c>
      <c r="L8" s="7" t="s">
        <v>3</v>
      </c>
      <c r="M8" s="41">
        <f>C8*E8*G8*I8*K8</f>
        <v>102</v>
      </c>
      <c r="N8" s="63" t="s">
        <v>18</v>
      </c>
      <c r="O8" s="7"/>
      <c r="P8" s="7"/>
      <c r="Q8" s="65"/>
    </row>
    <row r="9" spans="1:17" ht="15.75">
      <c r="A9" s="7" t="s">
        <v>15</v>
      </c>
      <c r="B9" s="7" t="s">
        <v>520</v>
      </c>
      <c r="C9" s="7">
        <f>C8</f>
        <v>1</v>
      </c>
      <c r="D9" s="7" t="s">
        <v>2</v>
      </c>
      <c r="E9" s="591">
        <v>1</v>
      </c>
      <c r="F9" s="7" t="s">
        <v>2</v>
      </c>
      <c r="G9" s="238">
        <v>5</v>
      </c>
      <c r="H9" s="7" t="s">
        <v>2</v>
      </c>
      <c r="I9" s="238">
        <v>3</v>
      </c>
      <c r="J9" s="7" t="s">
        <v>2</v>
      </c>
      <c r="K9" s="578">
        <v>0.5</v>
      </c>
      <c r="L9" s="7" t="s">
        <v>3</v>
      </c>
      <c r="M9" s="140">
        <f>C9*E9*G9*I9*K9</f>
        <v>7.5</v>
      </c>
      <c r="N9" s="63" t="s">
        <v>18</v>
      </c>
      <c r="O9" s="7"/>
      <c r="P9" s="7"/>
      <c r="Q9" s="65"/>
    </row>
    <row r="10" spans="1:17" ht="15.75">
      <c r="A10" s="7"/>
      <c r="B10" s="7"/>
      <c r="C10" s="7"/>
      <c r="D10" s="7"/>
      <c r="E10" s="591"/>
      <c r="F10" s="7"/>
      <c r="G10" s="591"/>
      <c r="H10" s="7"/>
      <c r="I10" s="578"/>
      <c r="J10" s="7"/>
      <c r="K10" s="578"/>
      <c r="L10" s="7"/>
      <c r="M10" s="213">
        <f>SUM(M7:M9)</f>
        <v>275.5</v>
      </c>
      <c r="N10" s="63" t="s">
        <v>18</v>
      </c>
      <c r="O10" s="7"/>
      <c r="P10" s="7"/>
      <c r="Q10" s="65"/>
    </row>
    <row r="11" spans="1:17" ht="15.75">
      <c r="A11" s="7"/>
      <c r="B11" s="68">
        <f>M10</f>
        <v>275.5</v>
      </c>
      <c r="C11" s="68"/>
      <c r="D11" s="68"/>
      <c r="E11" s="579" t="s">
        <v>167</v>
      </c>
      <c r="F11" s="69"/>
      <c r="G11" s="69"/>
      <c r="H11" s="7"/>
      <c r="I11" s="7"/>
      <c r="J11" s="7"/>
      <c r="K11" s="7"/>
      <c r="L11" s="7"/>
      <c r="M11" s="70" t="s">
        <v>17</v>
      </c>
      <c r="N11" s="576">
        <v>3176.25</v>
      </c>
      <c r="O11" s="7" t="s">
        <v>86</v>
      </c>
      <c r="P11" s="7" t="s">
        <v>16</v>
      </c>
      <c r="Q11" s="72">
        <f>B11*N11/1000</f>
        <v>875.05687499999999</v>
      </c>
    </row>
    <row r="12" spans="1:17" ht="9" customHeight="1">
      <c r="A12" s="7"/>
      <c r="B12" s="7"/>
      <c r="C12" s="7"/>
      <c r="D12" s="7"/>
      <c r="E12" s="591"/>
      <c r="F12" s="7"/>
      <c r="G12" s="7"/>
      <c r="H12" s="7"/>
      <c r="I12" s="7"/>
      <c r="J12" s="7"/>
      <c r="K12" s="7"/>
      <c r="L12" s="7"/>
      <c r="M12" s="73"/>
      <c r="N12" s="63"/>
      <c r="O12" s="7"/>
      <c r="P12" s="7"/>
      <c r="Q12" s="72"/>
    </row>
    <row r="13" spans="1:17" ht="15.75">
      <c r="A13" s="7">
        <v>2</v>
      </c>
      <c r="B13" s="7" t="s">
        <v>100</v>
      </c>
      <c r="C13" s="7"/>
      <c r="D13" s="7"/>
      <c r="E13" s="591"/>
      <c r="F13" s="7"/>
      <c r="G13" s="7"/>
      <c r="H13" s="7"/>
      <c r="I13" s="7"/>
      <c r="J13" s="7"/>
      <c r="K13" s="7"/>
      <c r="L13" s="7"/>
      <c r="M13" s="7"/>
      <c r="N13" s="63"/>
      <c r="O13" s="7"/>
      <c r="P13" s="7"/>
      <c r="Q13" s="72"/>
    </row>
    <row r="14" spans="1:17" ht="15.75">
      <c r="A14" s="7"/>
      <c r="B14" s="7" t="s">
        <v>101</v>
      </c>
      <c r="C14" s="7"/>
      <c r="D14" s="7"/>
      <c r="E14" s="591"/>
      <c r="F14" s="7"/>
      <c r="G14" s="7"/>
      <c r="H14" s="7"/>
      <c r="I14" s="7"/>
      <c r="J14" s="7"/>
      <c r="K14" s="7"/>
      <c r="L14" s="7"/>
      <c r="M14" s="7"/>
      <c r="N14" s="63"/>
      <c r="O14" s="7"/>
      <c r="P14" s="7"/>
      <c r="Q14" s="72"/>
    </row>
    <row r="15" spans="1:17" ht="15.75">
      <c r="A15" s="7"/>
      <c r="B15" s="20" t="s">
        <v>519</v>
      </c>
      <c r="C15" s="7"/>
      <c r="D15" s="7"/>
      <c r="E15" s="591"/>
      <c r="F15" s="7"/>
      <c r="G15" s="7"/>
      <c r="H15" s="7"/>
      <c r="I15" s="7"/>
      <c r="J15" s="7"/>
      <c r="K15" s="7"/>
      <c r="L15" s="7"/>
      <c r="M15" s="7"/>
      <c r="N15" s="63"/>
      <c r="O15" s="7"/>
      <c r="P15" s="7"/>
      <c r="Q15" s="72"/>
    </row>
    <row r="16" spans="1:17" ht="15.75">
      <c r="A16" s="7"/>
      <c r="B16" s="7" t="s">
        <v>521</v>
      </c>
      <c r="C16" s="7">
        <f>C7</f>
        <v>1</v>
      </c>
      <c r="D16" s="7" t="s">
        <v>2</v>
      </c>
      <c r="E16" s="591">
        <f>E7</f>
        <v>2</v>
      </c>
      <c r="F16" s="7" t="s">
        <v>2</v>
      </c>
      <c r="G16" s="7">
        <f>G7</f>
        <v>20.75</v>
      </c>
      <c r="H16" s="7" t="s">
        <v>2</v>
      </c>
      <c r="I16" s="79">
        <f>I7</f>
        <v>2</v>
      </c>
      <c r="J16" s="7" t="s">
        <v>2</v>
      </c>
      <c r="K16" s="41">
        <v>0.5</v>
      </c>
      <c r="L16" s="7" t="str">
        <f>L7</f>
        <v xml:space="preserve"> =</v>
      </c>
      <c r="M16" s="41">
        <f t="shared" ref="M16:M19" si="0">C16*E16*G16*I16*K16</f>
        <v>41.5</v>
      </c>
      <c r="N16" s="63" t="s">
        <v>18</v>
      </c>
      <c r="O16" s="7"/>
      <c r="P16" s="7"/>
      <c r="Q16" s="72"/>
    </row>
    <row r="17" spans="1:17" ht="15.75">
      <c r="A17" s="7"/>
      <c r="B17" s="7" t="s">
        <v>186</v>
      </c>
      <c r="C17" s="7">
        <f>C8</f>
        <v>1</v>
      </c>
      <c r="D17" s="7" t="s">
        <v>2</v>
      </c>
      <c r="E17" s="591">
        <f>E8</f>
        <v>2</v>
      </c>
      <c r="F17" s="7" t="s">
        <v>2</v>
      </c>
      <c r="G17" s="7">
        <f>G8</f>
        <v>12.75</v>
      </c>
      <c r="H17" s="7" t="s">
        <v>2</v>
      </c>
      <c r="I17" s="79">
        <f>I8</f>
        <v>2</v>
      </c>
      <c r="J17" s="7" t="s">
        <v>2</v>
      </c>
      <c r="K17" s="41">
        <v>0.5</v>
      </c>
      <c r="L17" s="7" t="str">
        <f>L8</f>
        <v xml:space="preserve"> =</v>
      </c>
      <c r="M17" s="41">
        <f t="shared" si="0"/>
        <v>25.5</v>
      </c>
      <c r="N17" s="63" t="s">
        <v>18</v>
      </c>
      <c r="O17" s="7"/>
      <c r="P17" s="7"/>
      <c r="Q17" s="72"/>
    </row>
    <row r="18" spans="1:17" ht="15.75">
      <c r="A18" s="7"/>
      <c r="B18" s="7" t="s">
        <v>522</v>
      </c>
      <c r="C18" s="7">
        <f>C17</f>
        <v>1</v>
      </c>
      <c r="D18" s="7" t="s">
        <v>2</v>
      </c>
      <c r="E18" s="591">
        <f t="shared" ref="E18" si="1">E9</f>
        <v>1</v>
      </c>
      <c r="F18" s="7" t="s">
        <v>2</v>
      </c>
      <c r="G18" s="79">
        <f>G9</f>
        <v>5</v>
      </c>
      <c r="H18" s="7" t="s">
        <v>2</v>
      </c>
      <c r="I18" s="79">
        <f>I9</f>
        <v>3</v>
      </c>
      <c r="J18" s="7" t="s">
        <v>2</v>
      </c>
      <c r="K18" s="41">
        <v>0.5</v>
      </c>
      <c r="L18" s="7" t="str">
        <f>L8</f>
        <v xml:space="preserve"> =</v>
      </c>
      <c r="M18" s="41">
        <f t="shared" si="0"/>
        <v>7.5</v>
      </c>
      <c r="N18" s="63" t="s">
        <v>18</v>
      </c>
      <c r="O18" s="7"/>
      <c r="P18" s="7"/>
      <c r="Q18" s="72"/>
    </row>
    <row r="19" spans="1:17" ht="15.75">
      <c r="A19" s="7"/>
      <c r="B19" s="7" t="s">
        <v>523</v>
      </c>
      <c r="C19" s="7">
        <f>C18</f>
        <v>1</v>
      </c>
      <c r="D19" s="7" t="s">
        <v>2</v>
      </c>
      <c r="E19" s="591">
        <v>1</v>
      </c>
      <c r="F19" s="7" t="s">
        <v>2</v>
      </c>
      <c r="G19" s="41">
        <v>17.5</v>
      </c>
      <c r="H19" s="7" t="s">
        <v>2</v>
      </c>
      <c r="I19" s="41">
        <v>13.5</v>
      </c>
      <c r="J19" s="7" t="s">
        <v>2</v>
      </c>
      <c r="K19" s="41">
        <v>0.33</v>
      </c>
      <c r="L19" s="7" t="str">
        <f>L9</f>
        <v xml:space="preserve"> =</v>
      </c>
      <c r="M19" s="140">
        <f t="shared" si="0"/>
        <v>77.962500000000006</v>
      </c>
      <c r="N19" s="63" t="s">
        <v>18</v>
      </c>
      <c r="O19" s="7"/>
      <c r="P19" s="7"/>
      <c r="Q19" s="72"/>
    </row>
    <row r="20" spans="1:17" ht="15.75">
      <c r="A20" s="7"/>
      <c r="B20" s="7"/>
      <c r="C20" s="7"/>
      <c r="D20" s="7"/>
      <c r="E20" s="591"/>
      <c r="F20" s="7"/>
      <c r="G20" s="7"/>
      <c r="H20" s="7"/>
      <c r="I20" s="7"/>
      <c r="J20" s="7"/>
      <c r="K20" s="7"/>
      <c r="L20" s="7"/>
      <c r="M20" s="66">
        <f>SUM(M16:M19)</f>
        <v>152.46250000000001</v>
      </c>
      <c r="N20" s="67" t="s">
        <v>18</v>
      </c>
      <c r="O20" s="7"/>
      <c r="P20" s="7"/>
      <c r="Q20" s="72"/>
    </row>
    <row r="21" spans="1:17" ht="15.75">
      <c r="A21" s="7"/>
      <c r="B21" s="68">
        <f>M20</f>
        <v>152.46250000000001</v>
      </c>
      <c r="C21" s="68"/>
      <c r="D21" s="68"/>
      <c r="E21" s="579" t="str">
        <f>N20</f>
        <v>Cft.</v>
      </c>
      <c r="F21" s="69"/>
      <c r="G21" s="69"/>
      <c r="H21" s="7"/>
      <c r="I21" s="7"/>
      <c r="J21" s="7"/>
      <c r="K21" s="7"/>
      <c r="L21" s="7"/>
      <c r="M21" s="272" t="str">
        <f>M11</f>
        <v xml:space="preserve"> @Rs:</v>
      </c>
      <c r="N21" s="576">
        <v>9416.2800000000007</v>
      </c>
      <c r="O21" s="7" t="s">
        <v>12</v>
      </c>
      <c r="P21" s="7" t="s">
        <v>16</v>
      </c>
      <c r="Q21" s="72">
        <f>B21*N21/100</f>
        <v>14356.295895000003</v>
      </c>
    </row>
    <row r="22" spans="1:17" ht="15.75">
      <c r="A22" s="7">
        <v>3</v>
      </c>
      <c r="B22" s="7" t="s">
        <v>524</v>
      </c>
      <c r="C22" s="7"/>
      <c r="D22" s="7"/>
      <c r="E22" s="591"/>
      <c r="F22" s="7"/>
      <c r="G22" s="7"/>
      <c r="H22" s="7"/>
      <c r="I22" s="7"/>
      <c r="J22" s="7"/>
      <c r="K22" s="7"/>
      <c r="L22" s="7"/>
      <c r="M22" s="7"/>
      <c r="N22" s="63"/>
      <c r="O22" s="7"/>
      <c r="P22" s="7"/>
      <c r="Q22" s="72"/>
    </row>
    <row r="23" spans="1:17" ht="15.75">
      <c r="A23" s="7"/>
      <c r="B23" s="7" t="s">
        <v>102</v>
      </c>
      <c r="C23" s="7"/>
      <c r="D23" s="7"/>
      <c r="E23" s="591"/>
      <c r="F23" s="7"/>
      <c r="G23" s="7"/>
      <c r="H23" s="7"/>
      <c r="I23" s="7"/>
      <c r="J23" s="7"/>
      <c r="K23" s="7"/>
      <c r="L23" s="7"/>
      <c r="M23" s="7"/>
      <c r="N23" s="63"/>
      <c r="O23" s="7"/>
      <c r="P23" s="7"/>
      <c r="Q23" s="72"/>
    </row>
    <row r="24" spans="1:17" ht="15.75">
      <c r="A24" s="7"/>
      <c r="B24" s="20" t="s">
        <v>519</v>
      </c>
      <c r="C24" s="7"/>
      <c r="D24" s="7"/>
      <c r="E24" s="591"/>
      <c r="F24" s="7"/>
      <c r="G24" s="7"/>
      <c r="H24" s="7"/>
      <c r="I24" s="7"/>
      <c r="J24" s="7"/>
      <c r="K24" s="7"/>
      <c r="L24" s="7"/>
      <c r="M24" s="7"/>
      <c r="N24" s="63"/>
      <c r="O24" s="7"/>
      <c r="P24" s="7"/>
      <c r="Q24" s="72"/>
    </row>
    <row r="25" spans="1:17" ht="15.75">
      <c r="A25" s="7"/>
      <c r="B25" s="7" t="s">
        <v>525</v>
      </c>
      <c r="C25" s="7">
        <v>1</v>
      </c>
      <c r="D25" s="7" t="s">
        <v>2</v>
      </c>
      <c r="E25" s="591">
        <v>2</v>
      </c>
      <c r="F25" s="7" t="s">
        <v>2</v>
      </c>
      <c r="G25" s="41">
        <v>20.25</v>
      </c>
      <c r="H25" s="7" t="s">
        <v>2</v>
      </c>
      <c r="I25" s="41">
        <v>1.5</v>
      </c>
      <c r="J25" s="41" t="s">
        <v>2</v>
      </c>
      <c r="K25" s="41">
        <v>1.5</v>
      </c>
      <c r="L25" s="7" t="s">
        <v>3</v>
      </c>
      <c r="M25" s="578">
        <f>C25*E25*G25*I25*K25</f>
        <v>91.125</v>
      </c>
      <c r="N25" s="63" t="s">
        <v>6</v>
      </c>
      <c r="O25" s="7"/>
      <c r="P25" s="7"/>
      <c r="Q25" s="72"/>
    </row>
    <row r="26" spans="1:17" ht="15.75">
      <c r="A26" s="7"/>
      <c r="B26" s="7" t="s">
        <v>99</v>
      </c>
      <c r="C26" s="7">
        <v>1</v>
      </c>
      <c r="D26" s="7" t="s">
        <v>2</v>
      </c>
      <c r="E26" s="591">
        <v>2</v>
      </c>
      <c r="F26" s="7" t="s">
        <v>2</v>
      </c>
      <c r="G26" s="41">
        <v>13.25</v>
      </c>
      <c r="H26" s="7" t="s">
        <v>2</v>
      </c>
      <c r="I26" s="41">
        <v>1.5</v>
      </c>
      <c r="J26" s="41" t="s">
        <v>2</v>
      </c>
      <c r="K26" s="41">
        <v>1.5</v>
      </c>
      <c r="L26" s="7" t="s">
        <v>3</v>
      </c>
      <c r="M26" s="578">
        <f>C26*E26*G26*I26*K26</f>
        <v>59.625</v>
      </c>
      <c r="N26" s="63" t="s">
        <v>6</v>
      </c>
      <c r="O26" s="7"/>
      <c r="P26" s="7"/>
      <c r="Q26" s="72"/>
    </row>
    <row r="27" spans="1:17" ht="15.75">
      <c r="A27" s="7"/>
      <c r="B27" s="7" t="s">
        <v>525</v>
      </c>
      <c r="C27" s="7">
        <f>C16</f>
        <v>1</v>
      </c>
      <c r="D27" s="7" t="s">
        <v>2</v>
      </c>
      <c r="E27" s="591">
        <v>2</v>
      </c>
      <c r="F27" s="7" t="s">
        <v>2</v>
      </c>
      <c r="G27" s="41">
        <v>19.87</v>
      </c>
      <c r="H27" s="7" t="s">
        <v>2</v>
      </c>
      <c r="I27" s="7">
        <v>1.1299999999999999</v>
      </c>
      <c r="J27" s="7" t="s">
        <v>2</v>
      </c>
      <c r="K27" s="79">
        <v>3</v>
      </c>
      <c r="L27" s="7" t="s">
        <v>3</v>
      </c>
      <c r="M27" s="578">
        <f>C27*E27*G27*I27*K27</f>
        <v>134.71859999999998</v>
      </c>
      <c r="N27" s="63" t="s">
        <v>6</v>
      </c>
      <c r="O27" s="7"/>
      <c r="P27" s="7"/>
      <c r="Q27" s="72"/>
    </row>
    <row r="28" spans="1:17" ht="15.75">
      <c r="A28" s="7"/>
      <c r="B28" s="7" t="s">
        <v>99</v>
      </c>
      <c r="C28" s="7">
        <f>C27</f>
        <v>1</v>
      </c>
      <c r="D28" s="7" t="s">
        <v>2</v>
      </c>
      <c r="E28" s="591">
        <v>2</v>
      </c>
      <c r="F28" s="7" t="s">
        <v>2</v>
      </c>
      <c r="G28" s="41">
        <v>13.62</v>
      </c>
      <c r="H28" s="7" t="s">
        <v>2</v>
      </c>
      <c r="I28" s="7">
        <v>1.1299999999999999</v>
      </c>
      <c r="J28" s="7" t="s">
        <v>2</v>
      </c>
      <c r="K28" s="79">
        <v>3</v>
      </c>
      <c r="L28" s="7" t="s">
        <v>3</v>
      </c>
      <c r="M28" s="578">
        <f>C28*E28*G28*I28*K28</f>
        <v>92.343599999999981</v>
      </c>
      <c r="N28" s="63" t="s">
        <v>6</v>
      </c>
      <c r="O28" s="7"/>
      <c r="P28" s="7"/>
      <c r="Q28" s="72"/>
    </row>
    <row r="29" spans="1:17" ht="15.75">
      <c r="A29" s="7"/>
      <c r="B29" s="7" t="s">
        <v>522</v>
      </c>
      <c r="C29" s="7">
        <f t="shared" ref="C29:C31" si="2">C28</f>
        <v>1</v>
      </c>
      <c r="D29" s="7" t="s">
        <v>2</v>
      </c>
      <c r="E29" s="591">
        <v>5</v>
      </c>
      <c r="F29" s="7" t="s">
        <v>2</v>
      </c>
      <c r="G29" s="41">
        <v>3</v>
      </c>
      <c r="H29" s="7" t="s">
        <v>2</v>
      </c>
      <c r="I29" s="7">
        <v>0.75</v>
      </c>
      <c r="J29" s="7"/>
      <c r="K29" s="79"/>
      <c r="L29" s="7" t="s">
        <v>3</v>
      </c>
      <c r="M29" s="578">
        <f>C29*E29*G29*I29</f>
        <v>11.25</v>
      </c>
      <c r="N29" s="63" t="s">
        <v>6</v>
      </c>
      <c r="O29" s="7"/>
      <c r="P29" s="7"/>
      <c r="Q29" s="72"/>
    </row>
    <row r="30" spans="1:17" ht="15.75">
      <c r="A30" s="7"/>
      <c r="B30" s="7"/>
      <c r="C30" s="7">
        <f t="shared" si="2"/>
        <v>1</v>
      </c>
      <c r="D30" s="7" t="s">
        <v>2</v>
      </c>
      <c r="E30" s="591">
        <v>5</v>
      </c>
      <c r="F30" s="7" t="s">
        <v>2</v>
      </c>
      <c r="G30" s="41">
        <v>2</v>
      </c>
      <c r="H30" s="7" t="s">
        <v>2</v>
      </c>
      <c r="I30" s="7">
        <v>0.75</v>
      </c>
      <c r="J30" s="7"/>
      <c r="K30" s="79"/>
      <c r="L30" s="7" t="s">
        <v>3</v>
      </c>
      <c r="M30" s="578">
        <f t="shared" ref="M30:M31" si="3">C30*E30*G30*I30</f>
        <v>7.5</v>
      </c>
      <c r="N30" s="63" t="s">
        <v>6</v>
      </c>
      <c r="O30" s="7"/>
      <c r="P30" s="7"/>
      <c r="Q30" s="72"/>
    </row>
    <row r="31" spans="1:17" ht="15.75">
      <c r="A31" s="7"/>
      <c r="B31" s="7"/>
      <c r="C31" s="7">
        <f t="shared" si="2"/>
        <v>1</v>
      </c>
      <c r="D31" s="7" t="s">
        <v>2</v>
      </c>
      <c r="E31" s="591">
        <v>5</v>
      </c>
      <c r="F31" s="7" t="s">
        <v>2</v>
      </c>
      <c r="G31" s="41">
        <v>1</v>
      </c>
      <c r="H31" s="7" t="s">
        <v>2</v>
      </c>
      <c r="I31" s="7">
        <v>0.75</v>
      </c>
      <c r="J31" s="7"/>
      <c r="K31" s="79"/>
      <c r="L31" s="7" t="s">
        <v>3</v>
      </c>
      <c r="M31" s="578">
        <f t="shared" si="3"/>
        <v>3.75</v>
      </c>
      <c r="N31" s="63" t="s">
        <v>6</v>
      </c>
      <c r="O31" s="7"/>
      <c r="P31" s="7"/>
      <c r="Q31" s="72"/>
    </row>
    <row r="32" spans="1:17" ht="15.75">
      <c r="A32" s="7"/>
      <c r="B32" s="68"/>
      <c r="C32" s="68"/>
      <c r="D32" s="68"/>
      <c r="E32" s="579"/>
      <c r="F32" s="69"/>
      <c r="G32" s="69"/>
      <c r="H32" s="7"/>
      <c r="I32" s="7"/>
      <c r="J32" s="7"/>
      <c r="K32" s="7"/>
      <c r="L32" s="7" t="s">
        <v>21</v>
      </c>
      <c r="M32" s="81">
        <f>SUM(M25:M31)</f>
        <v>400.31219999999996</v>
      </c>
      <c r="N32" s="576" t="s">
        <v>167</v>
      </c>
      <c r="O32" s="7"/>
      <c r="P32" s="7"/>
      <c r="Q32" s="72"/>
    </row>
    <row r="33" spans="1:17" ht="15.75">
      <c r="A33" s="7"/>
      <c r="B33" s="68">
        <v>400.29</v>
      </c>
      <c r="C33" s="68"/>
      <c r="D33" s="68"/>
      <c r="E33" s="579" t="str">
        <f>N32</f>
        <v>cft</v>
      </c>
      <c r="F33" s="69"/>
      <c r="G33" s="69"/>
      <c r="H33" s="7"/>
      <c r="I33" s="7"/>
      <c r="J33" s="7"/>
      <c r="K33" s="7"/>
      <c r="L33" s="7"/>
      <c r="M33" s="143" t="s">
        <v>213</v>
      </c>
      <c r="N33" s="576">
        <v>11948.36</v>
      </c>
      <c r="O33" s="7" t="s">
        <v>12</v>
      </c>
      <c r="P33" s="7" t="s">
        <v>16</v>
      </c>
      <c r="Q33" s="72">
        <f>B33*N33/100</f>
        <v>47828.090244000006</v>
      </c>
    </row>
    <row r="34" spans="1:17" ht="11.25" customHeight="1">
      <c r="A34" s="7"/>
      <c r="B34" s="68"/>
      <c r="C34" s="68"/>
      <c r="D34" s="68"/>
      <c r="E34" s="579"/>
      <c r="F34" s="69"/>
      <c r="G34" s="69"/>
      <c r="H34" s="7"/>
      <c r="I34" s="7"/>
      <c r="J34" s="7"/>
      <c r="K34" s="7"/>
      <c r="L34" s="7"/>
      <c r="M34" s="143"/>
      <c r="N34" s="576"/>
      <c r="O34" s="7"/>
      <c r="P34" s="7"/>
      <c r="Q34" s="72"/>
    </row>
    <row r="35" spans="1:17" ht="15.75">
      <c r="A35" s="7">
        <v>4</v>
      </c>
      <c r="B35" s="7" t="s">
        <v>13</v>
      </c>
      <c r="C35" s="7"/>
      <c r="D35" s="7"/>
      <c r="E35" s="591"/>
      <c r="F35" s="7"/>
      <c r="G35" s="7"/>
      <c r="H35" s="7"/>
      <c r="I35" s="7"/>
      <c r="J35" s="7"/>
      <c r="K35" s="7"/>
      <c r="L35" s="7"/>
      <c r="M35" s="7"/>
      <c r="N35" s="63"/>
      <c r="O35" s="7"/>
      <c r="P35" s="7"/>
      <c r="Q35" s="72"/>
    </row>
    <row r="36" spans="1:17" ht="15.75">
      <c r="A36" s="7"/>
      <c r="B36" s="21" t="s">
        <v>104</v>
      </c>
      <c r="C36" s="21"/>
      <c r="D36" s="21"/>
      <c r="E36" s="591"/>
      <c r="F36" s="21"/>
      <c r="G36" s="21"/>
      <c r="H36" s="21"/>
      <c r="I36" s="21"/>
      <c r="J36" s="21"/>
      <c r="K36" s="7"/>
      <c r="L36" s="7"/>
      <c r="M36" s="7"/>
      <c r="N36" s="63"/>
      <c r="O36" s="7"/>
      <c r="P36" s="7"/>
      <c r="Q36" s="72"/>
    </row>
    <row r="37" spans="1:17" ht="15.75">
      <c r="A37" s="7"/>
      <c r="B37" s="21" t="s">
        <v>105</v>
      </c>
      <c r="C37" s="21"/>
      <c r="D37" s="21"/>
      <c r="E37" s="591"/>
      <c r="F37" s="21"/>
      <c r="G37" s="21"/>
      <c r="H37" s="21"/>
      <c r="I37" s="21"/>
      <c r="J37" s="21"/>
      <c r="K37" s="7"/>
      <c r="L37" s="7"/>
      <c r="M37" s="7"/>
      <c r="N37" s="63"/>
      <c r="O37" s="7"/>
      <c r="P37" s="7"/>
      <c r="Q37" s="72"/>
    </row>
    <row r="38" spans="1:17" ht="15.75">
      <c r="A38" s="7"/>
      <c r="B38" s="7" t="s">
        <v>106</v>
      </c>
      <c r="C38" s="7"/>
      <c r="D38" s="7"/>
      <c r="E38" s="591"/>
      <c r="F38" s="7"/>
      <c r="G38" s="7"/>
      <c r="H38" s="7"/>
      <c r="I38" s="7"/>
      <c r="J38" s="7"/>
      <c r="K38" s="7"/>
      <c r="L38" s="7"/>
      <c r="M38" s="7"/>
      <c r="N38" s="63"/>
      <c r="O38" s="7"/>
      <c r="P38" s="7"/>
      <c r="Q38" s="72"/>
    </row>
    <row r="39" spans="1:17" ht="15.75">
      <c r="A39" s="7"/>
      <c r="B39" s="7" t="s">
        <v>107</v>
      </c>
      <c r="C39" s="7"/>
      <c r="D39" s="7"/>
      <c r="E39" s="591"/>
      <c r="F39" s="7"/>
      <c r="G39" s="7"/>
      <c r="H39" s="7"/>
      <c r="I39" s="7"/>
      <c r="J39" s="7"/>
      <c r="K39" s="7"/>
      <c r="L39" s="7"/>
      <c r="M39" s="7"/>
      <c r="N39" s="63"/>
      <c r="O39" s="7"/>
      <c r="P39" s="7"/>
      <c r="Q39" s="72"/>
    </row>
    <row r="40" spans="1:17" ht="15.75">
      <c r="A40" s="7"/>
      <c r="B40" s="7" t="s">
        <v>108</v>
      </c>
      <c r="C40" s="7"/>
      <c r="D40" s="7"/>
      <c r="E40" s="591"/>
      <c r="F40" s="7"/>
      <c r="G40" s="7"/>
      <c r="H40" s="7"/>
      <c r="I40" s="7"/>
      <c r="J40" s="7"/>
      <c r="K40" s="7"/>
      <c r="L40" s="7"/>
      <c r="M40" s="7"/>
      <c r="N40" s="63"/>
      <c r="O40" s="7"/>
      <c r="P40" s="7"/>
      <c r="Q40" s="72"/>
    </row>
    <row r="41" spans="1:17" ht="15.75">
      <c r="A41" s="7"/>
      <c r="B41" s="7" t="s">
        <v>109</v>
      </c>
      <c r="C41" s="7"/>
      <c r="D41" s="7"/>
      <c r="E41" s="591"/>
      <c r="F41" s="7"/>
      <c r="G41" s="7"/>
      <c r="H41" s="7"/>
      <c r="I41" s="7"/>
      <c r="J41" s="7"/>
      <c r="K41" s="7"/>
      <c r="L41" s="7"/>
      <c r="M41" s="7"/>
      <c r="N41" s="63"/>
      <c r="O41" s="7"/>
      <c r="P41" s="7"/>
      <c r="Q41" s="72"/>
    </row>
    <row r="42" spans="1:17" ht="15.75">
      <c r="A42" s="7"/>
      <c r="B42" s="20" t="s">
        <v>519</v>
      </c>
      <c r="C42" s="7"/>
      <c r="D42" s="7"/>
      <c r="E42" s="591"/>
      <c r="F42" s="7"/>
      <c r="G42" s="41"/>
      <c r="H42" s="41"/>
      <c r="I42" s="41"/>
      <c r="J42" s="41"/>
      <c r="K42" s="41"/>
      <c r="L42" s="7"/>
      <c r="M42" s="41"/>
      <c r="N42" s="63"/>
      <c r="O42" s="7"/>
      <c r="P42" s="7"/>
      <c r="Q42" s="72"/>
    </row>
    <row r="43" spans="1:17" ht="15.75">
      <c r="A43" s="591" t="s">
        <v>526</v>
      </c>
      <c r="B43" s="596" t="s">
        <v>527</v>
      </c>
      <c r="C43" s="7"/>
      <c r="D43" s="68"/>
      <c r="E43" s="579"/>
      <c r="F43" s="69"/>
      <c r="G43" s="69"/>
      <c r="H43" s="7"/>
      <c r="I43" s="7"/>
      <c r="J43" s="7"/>
      <c r="K43" s="7"/>
      <c r="L43" s="7"/>
      <c r="M43" s="272"/>
      <c r="N43" s="576"/>
      <c r="O43" s="7"/>
      <c r="P43" s="7"/>
      <c r="Q43" s="72"/>
    </row>
    <row r="44" spans="1:17" ht="15.75">
      <c r="A44" s="7"/>
      <c r="B44" s="68" t="s">
        <v>528</v>
      </c>
      <c r="C44" s="7">
        <v>1</v>
      </c>
      <c r="D44" s="7" t="s">
        <v>2</v>
      </c>
      <c r="E44" s="591">
        <v>5</v>
      </c>
      <c r="F44" s="7" t="s">
        <v>2</v>
      </c>
      <c r="G44" s="659">
        <v>0.75</v>
      </c>
      <c r="H44" s="41" t="s">
        <v>2</v>
      </c>
      <c r="I44" s="41">
        <v>0.5</v>
      </c>
      <c r="J44" s="41"/>
      <c r="K44" s="41"/>
      <c r="L44" s="7" t="s">
        <v>3</v>
      </c>
      <c r="M44" s="597">
        <f>C44*E44*G44*I44</f>
        <v>1.875</v>
      </c>
      <c r="N44" s="63" t="s">
        <v>6</v>
      </c>
      <c r="O44" s="7"/>
      <c r="P44" s="7"/>
      <c r="Q44" s="72"/>
    </row>
    <row r="45" spans="1:17" ht="15.75">
      <c r="A45" s="7"/>
      <c r="B45" s="68" t="s">
        <v>529</v>
      </c>
      <c r="C45" s="7">
        <v>2</v>
      </c>
      <c r="D45" s="7" t="s">
        <v>2</v>
      </c>
      <c r="E45" s="591">
        <v>4</v>
      </c>
      <c r="F45" s="7" t="s">
        <v>2</v>
      </c>
      <c r="G45" s="578">
        <v>0.75</v>
      </c>
      <c r="H45" s="41" t="s">
        <v>2</v>
      </c>
      <c r="I45" s="41">
        <v>0.5</v>
      </c>
      <c r="J45" s="41"/>
      <c r="K45" s="79"/>
      <c r="L45" s="7" t="s">
        <v>3</v>
      </c>
      <c r="M45" s="597">
        <f>C45*E45*G45*I45</f>
        <v>3</v>
      </c>
      <c r="N45" s="63" t="s">
        <v>6</v>
      </c>
      <c r="O45" s="7"/>
      <c r="P45" s="7"/>
      <c r="Q45" s="72"/>
    </row>
    <row r="46" spans="1:17" ht="15.75">
      <c r="A46" s="591" t="s">
        <v>530</v>
      </c>
      <c r="B46" s="203" t="s">
        <v>531</v>
      </c>
      <c r="C46" s="68"/>
      <c r="D46" s="68"/>
      <c r="E46" s="579"/>
      <c r="F46" s="69"/>
      <c r="G46" s="69"/>
      <c r="H46" s="7"/>
      <c r="I46" s="7"/>
      <c r="J46" s="7"/>
      <c r="K46" s="7"/>
      <c r="L46" s="7"/>
      <c r="M46" s="272"/>
      <c r="N46" s="576"/>
      <c r="O46" s="7"/>
      <c r="P46" s="7"/>
      <c r="Q46" s="72"/>
    </row>
    <row r="47" spans="1:17" ht="15.75">
      <c r="A47" s="7"/>
      <c r="B47" s="7" t="s">
        <v>519</v>
      </c>
      <c r="C47" s="68"/>
      <c r="D47" s="68"/>
      <c r="E47" s="579"/>
      <c r="F47" s="69"/>
      <c r="G47" s="69"/>
      <c r="H47" s="7"/>
      <c r="I47" s="7"/>
      <c r="J47" s="7"/>
      <c r="K47" s="7"/>
      <c r="L47" s="7"/>
      <c r="M47" s="272"/>
      <c r="N47" s="576"/>
      <c r="O47" s="7"/>
      <c r="P47" s="7"/>
      <c r="Q47" s="72"/>
    </row>
    <row r="48" spans="1:17" ht="15.75">
      <c r="A48" s="7"/>
      <c r="B48" s="68"/>
      <c r="C48" s="7">
        <f>C7</f>
        <v>1</v>
      </c>
      <c r="D48" s="7" t="s">
        <v>2</v>
      </c>
      <c r="E48" s="578">
        <v>21.5</v>
      </c>
      <c r="F48" s="7" t="s">
        <v>2</v>
      </c>
      <c r="G48" s="41">
        <v>17.5</v>
      </c>
      <c r="H48" s="41" t="s">
        <v>2</v>
      </c>
      <c r="I48" s="41">
        <v>0.42</v>
      </c>
      <c r="J48" s="41"/>
      <c r="K48" s="41"/>
      <c r="L48" s="7" t="s">
        <v>3</v>
      </c>
      <c r="M48" s="140">
        <f>C48*E48*G48*I48</f>
        <v>158.02500000000001</v>
      </c>
      <c r="N48" s="63" t="s">
        <v>6</v>
      </c>
      <c r="O48" s="7"/>
      <c r="P48" s="7"/>
      <c r="Q48" s="72"/>
    </row>
    <row r="49" spans="1:17" ht="15.75">
      <c r="A49" s="7"/>
      <c r="B49" s="68"/>
      <c r="C49" s="7"/>
      <c r="D49" s="7"/>
      <c r="E49" s="578"/>
      <c r="F49" s="7"/>
      <c r="G49" s="41"/>
      <c r="H49" s="41"/>
      <c r="I49" s="41"/>
      <c r="J49" s="41"/>
      <c r="K49" s="41"/>
      <c r="L49" s="7"/>
      <c r="M49" s="213">
        <f>SUM(M43:M48)</f>
        <v>162.9</v>
      </c>
      <c r="N49" s="63"/>
      <c r="O49" s="7"/>
      <c r="P49" s="7"/>
      <c r="Q49" s="72"/>
    </row>
    <row r="50" spans="1:17" ht="15.75">
      <c r="A50" s="7"/>
      <c r="B50" s="68">
        <v>162.88999999999999</v>
      </c>
      <c r="C50" s="68"/>
      <c r="D50" s="68"/>
      <c r="E50" s="579" t="s">
        <v>6</v>
      </c>
      <c r="F50" s="69"/>
      <c r="G50" s="69"/>
      <c r="H50" s="7"/>
      <c r="I50" s="7"/>
      <c r="J50" s="7"/>
      <c r="K50" s="7"/>
      <c r="L50" s="7"/>
      <c r="M50" s="272" t="str">
        <f>M33</f>
        <v>@Rs</v>
      </c>
      <c r="N50" s="63">
        <v>337</v>
      </c>
      <c r="O50" s="7" t="s">
        <v>48</v>
      </c>
      <c r="P50" s="7" t="s">
        <v>16</v>
      </c>
      <c r="Q50" s="72">
        <f>B50*N50</f>
        <v>54893.929999999993</v>
      </c>
    </row>
    <row r="51" spans="1:17" ht="15.75">
      <c r="A51" s="7"/>
      <c r="B51" s="68"/>
      <c r="C51" s="68"/>
      <c r="D51" s="68"/>
      <c r="E51" s="579"/>
      <c r="F51" s="69"/>
      <c r="G51" s="69"/>
      <c r="H51" s="7"/>
      <c r="I51" s="7"/>
      <c r="J51" s="7"/>
      <c r="K51" s="7"/>
      <c r="L51" s="7"/>
      <c r="M51" s="272"/>
      <c r="N51" s="63"/>
      <c r="O51" s="7"/>
      <c r="P51" s="7"/>
      <c r="Q51" s="72"/>
    </row>
    <row r="52" spans="1:17" ht="15">
      <c r="A52" s="598">
        <v>5</v>
      </c>
      <c r="B52" s="1021" t="s">
        <v>532</v>
      </c>
      <c r="C52" s="1021"/>
      <c r="D52" s="1021"/>
      <c r="E52" s="1021"/>
      <c r="F52" s="1021"/>
      <c r="G52" s="1021"/>
      <c r="H52" s="1021"/>
      <c r="I52" s="1021"/>
      <c r="J52" s="1021"/>
      <c r="K52" s="1021"/>
      <c r="L52" s="1021"/>
      <c r="M52" s="1021"/>
      <c r="N52" s="241"/>
      <c r="O52" s="240"/>
      <c r="P52" s="240"/>
      <c r="Q52" s="242"/>
    </row>
    <row r="53" spans="1:17" ht="15.75">
      <c r="A53" s="7"/>
      <c r="B53" s="575"/>
      <c r="C53" s="575"/>
      <c r="D53" s="575"/>
      <c r="E53" s="579"/>
      <c r="F53" s="579"/>
      <c r="G53" s="579"/>
      <c r="H53" s="7"/>
      <c r="I53" s="7"/>
      <c r="J53" s="7"/>
      <c r="K53" s="7"/>
      <c r="L53" s="7"/>
      <c r="M53" s="272"/>
      <c r="N53" s="63"/>
      <c r="O53" s="7"/>
      <c r="P53" s="7"/>
      <c r="Q53" s="72"/>
    </row>
    <row r="54" spans="1:17" ht="15.75">
      <c r="A54" s="7"/>
      <c r="B54" s="68" t="s">
        <v>533</v>
      </c>
      <c r="C54" s="7">
        <v>1</v>
      </c>
      <c r="D54" s="7" t="s">
        <v>2</v>
      </c>
      <c r="E54" s="591">
        <v>2</v>
      </c>
      <c r="F54" s="7" t="s">
        <v>2</v>
      </c>
      <c r="G54" s="41">
        <v>19.87</v>
      </c>
      <c r="H54" s="41" t="s">
        <v>2</v>
      </c>
      <c r="I54" s="41">
        <v>1.1299999999999999</v>
      </c>
      <c r="J54" s="41"/>
      <c r="K54" s="41"/>
      <c r="L54" s="7" t="s">
        <v>3</v>
      </c>
      <c r="M54" s="140">
        <f>C54*E54*G54*I54</f>
        <v>44.906199999999998</v>
      </c>
      <c r="N54" s="63" t="s">
        <v>6</v>
      </c>
      <c r="O54" s="7"/>
      <c r="P54" s="7"/>
      <c r="Q54" s="72"/>
    </row>
    <row r="55" spans="1:17" ht="15.75">
      <c r="A55" s="7"/>
      <c r="B55" s="68" t="s">
        <v>534</v>
      </c>
      <c r="C55" s="7">
        <v>1</v>
      </c>
      <c r="D55" s="7" t="s">
        <v>2</v>
      </c>
      <c r="E55" s="591">
        <v>2</v>
      </c>
      <c r="F55" s="7" t="s">
        <v>2</v>
      </c>
      <c r="G55" s="578">
        <v>13.62</v>
      </c>
      <c r="H55" s="41" t="s">
        <v>2</v>
      </c>
      <c r="I55" s="41">
        <v>1.1299999999999999</v>
      </c>
      <c r="J55" s="41"/>
      <c r="K55" s="79"/>
      <c r="L55" s="7" t="s">
        <v>3</v>
      </c>
      <c r="M55" s="140">
        <f>C55*E55*G55*I55</f>
        <v>30.781199999999995</v>
      </c>
      <c r="N55" s="63" t="s">
        <v>6</v>
      </c>
      <c r="O55" s="7"/>
      <c r="P55" s="7"/>
      <c r="Q55" s="72"/>
    </row>
    <row r="56" spans="1:17" ht="15.75">
      <c r="A56" s="7"/>
      <c r="B56" s="575"/>
      <c r="C56" s="575"/>
      <c r="D56" s="575"/>
      <c r="E56" s="579"/>
      <c r="F56" s="579"/>
      <c r="G56" s="579"/>
      <c r="H56" s="7"/>
      <c r="I56" s="7"/>
      <c r="J56" s="7"/>
      <c r="K56" s="7"/>
      <c r="L56" s="7"/>
      <c r="M56" s="272">
        <f>SUM(M54:M55)</f>
        <v>75.687399999999997</v>
      </c>
      <c r="N56" s="63"/>
      <c r="O56" s="7"/>
      <c r="P56" s="7"/>
      <c r="Q56" s="72"/>
    </row>
    <row r="57" spans="1:17" ht="15.75">
      <c r="A57" s="7"/>
      <c r="B57" s="68">
        <f>M56</f>
        <v>75.687399999999997</v>
      </c>
      <c r="C57" s="68" t="s">
        <v>187</v>
      </c>
      <c r="D57" s="68"/>
      <c r="E57" s="579"/>
      <c r="F57" s="69"/>
      <c r="G57" s="69"/>
      <c r="H57" s="7"/>
      <c r="I57" s="7"/>
      <c r="J57" s="7"/>
      <c r="K57" s="7"/>
      <c r="L57" s="7"/>
      <c r="M57" s="143" t="s">
        <v>213</v>
      </c>
      <c r="N57" s="63">
        <v>4982.18</v>
      </c>
      <c r="O57" s="7" t="s">
        <v>367</v>
      </c>
      <c r="P57" s="7" t="s">
        <v>16</v>
      </c>
      <c r="Q57" s="72">
        <f>B57*N57/100</f>
        <v>3770.8825053199998</v>
      </c>
    </row>
    <row r="58" spans="1:17" ht="15.75">
      <c r="A58" s="7"/>
      <c r="B58" s="575"/>
      <c r="C58" s="575"/>
      <c r="D58" s="575"/>
      <c r="E58" s="579"/>
      <c r="F58" s="579"/>
      <c r="G58" s="579"/>
      <c r="H58" s="7"/>
      <c r="I58" s="7"/>
      <c r="J58" s="7"/>
      <c r="K58" s="7"/>
      <c r="L58" s="7"/>
      <c r="M58" s="272"/>
      <c r="N58" s="63"/>
      <c r="O58" s="7"/>
      <c r="P58" s="7"/>
      <c r="Q58" s="72"/>
    </row>
    <row r="59" spans="1:17" ht="15.75">
      <c r="A59" s="38">
        <v>6</v>
      </c>
      <c r="B59" s="7" t="s">
        <v>110</v>
      </c>
      <c r="C59" s="7"/>
      <c r="D59" s="7"/>
      <c r="E59" s="591"/>
      <c r="F59" s="7"/>
      <c r="G59" s="7"/>
      <c r="H59" s="7"/>
      <c r="I59" s="7"/>
      <c r="J59" s="7"/>
      <c r="K59" s="7"/>
      <c r="L59" s="7"/>
      <c r="M59" s="7"/>
      <c r="N59" s="63"/>
      <c r="O59" s="7"/>
      <c r="P59" s="7"/>
      <c r="Q59" s="72"/>
    </row>
    <row r="60" spans="1:17" ht="15.75">
      <c r="A60" s="38"/>
      <c r="B60" s="7" t="s">
        <v>111</v>
      </c>
      <c r="C60" s="7"/>
      <c r="D60" s="7"/>
      <c r="E60" s="591"/>
      <c r="F60" s="7"/>
      <c r="G60" s="7"/>
      <c r="H60" s="7"/>
      <c r="I60" s="7"/>
      <c r="J60" s="7"/>
      <c r="K60" s="7"/>
      <c r="L60" s="7"/>
      <c r="M60" s="7"/>
      <c r="N60" s="63"/>
      <c r="O60" s="7"/>
      <c r="P60" s="7"/>
      <c r="Q60" s="72"/>
    </row>
    <row r="61" spans="1:17" ht="15.75">
      <c r="A61" s="38"/>
      <c r="B61" s="7" t="s">
        <v>112</v>
      </c>
      <c r="C61" s="7"/>
      <c r="D61" s="7"/>
      <c r="E61" s="591"/>
      <c r="F61" s="7"/>
      <c r="G61" s="7"/>
      <c r="H61" s="7"/>
      <c r="I61" s="7"/>
      <c r="J61" s="7"/>
      <c r="K61" s="7"/>
      <c r="L61" s="7"/>
      <c r="M61" s="7"/>
      <c r="N61" s="63"/>
      <c r="O61" s="7"/>
      <c r="P61" s="7"/>
      <c r="Q61" s="72"/>
    </row>
    <row r="62" spans="1:17" ht="15.75">
      <c r="A62" s="7"/>
      <c r="B62" s="578">
        <f>M49</f>
        <v>162.9</v>
      </c>
      <c r="C62" s="578"/>
      <c r="D62" s="578"/>
      <c r="E62" s="591" t="s">
        <v>2</v>
      </c>
      <c r="F62" s="7"/>
      <c r="G62" s="41">
        <v>4.5</v>
      </c>
      <c r="H62" s="7" t="s">
        <v>31</v>
      </c>
      <c r="I62" s="7">
        <v>112</v>
      </c>
      <c r="J62" s="7"/>
      <c r="K62" s="7"/>
      <c r="L62" s="7" t="s">
        <v>3</v>
      </c>
      <c r="M62" s="41">
        <f>(B62*G62)/I62</f>
        <v>6.5450892857142859</v>
      </c>
      <c r="N62" s="63" t="s">
        <v>9</v>
      </c>
      <c r="O62" s="7"/>
      <c r="P62" s="7"/>
      <c r="Q62" s="72"/>
    </row>
    <row r="63" spans="1:17" ht="15.75">
      <c r="A63" s="7"/>
      <c r="B63" s="68">
        <v>6.54</v>
      </c>
      <c r="C63" s="68"/>
      <c r="D63" s="68"/>
      <c r="E63" s="579" t="s">
        <v>9</v>
      </c>
      <c r="F63" s="69"/>
      <c r="G63" s="69"/>
      <c r="H63" s="7"/>
      <c r="I63" s="7"/>
      <c r="J63" s="7"/>
      <c r="K63" s="7"/>
      <c r="L63" s="7"/>
      <c r="M63" s="272" t="str">
        <f>M50</f>
        <v>@Rs</v>
      </c>
      <c r="N63" s="576">
        <v>5001.7</v>
      </c>
      <c r="O63" s="7" t="s">
        <v>60</v>
      </c>
      <c r="P63" s="7" t="s">
        <v>16</v>
      </c>
      <c r="Q63" s="72">
        <f>B63*N63</f>
        <v>32711.117999999999</v>
      </c>
    </row>
    <row r="64" spans="1:17" ht="15.75">
      <c r="A64" s="7"/>
      <c r="B64" s="578"/>
      <c r="C64" s="578"/>
      <c r="D64" s="578"/>
      <c r="E64" s="591"/>
      <c r="F64" s="591"/>
      <c r="G64" s="591"/>
      <c r="H64" s="7"/>
      <c r="I64" s="7"/>
      <c r="J64" s="7"/>
      <c r="K64" s="7"/>
      <c r="L64" s="7"/>
      <c r="M64" s="272"/>
      <c r="N64" s="63"/>
      <c r="O64" s="7"/>
      <c r="P64" s="7"/>
      <c r="Q64" s="72"/>
    </row>
    <row r="65" spans="1:17" ht="15.75">
      <c r="A65" s="7">
        <v>7</v>
      </c>
      <c r="B65" s="7" t="s">
        <v>535</v>
      </c>
      <c r="C65" s="7"/>
      <c r="D65" s="7"/>
      <c r="E65" s="591"/>
      <c r="F65" s="7"/>
      <c r="G65" s="7"/>
      <c r="H65" s="7"/>
      <c r="I65" s="7"/>
      <c r="J65" s="7"/>
      <c r="K65" s="7"/>
      <c r="L65" s="7"/>
      <c r="M65" s="7"/>
      <c r="N65" s="63"/>
      <c r="O65" s="7"/>
      <c r="P65" s="7"/>
      <c r="Q65" s="72"/>
    </row>
    <row r="66" spans="1:17" ht="15.75">
      <c r="A66" s="7"/>
      <c r="B66" s="7" t="s">
        <v>102</v>
      </c>
      <c r="C66" s="7"/>
      <c r="D66" s="7"/>
      <c r="E66" s="591"/>
      <c r="F66" s="7"/>
      <c r="G66" s="7"/>
      <c r="H66" s="7"/>
      <c r="I66" s="7"/>
      <c r="J66" s="7"/>
      <c r="K66" s="7"/>
      <c r="L66" s="7"/>
      <c r="M66" s="7"/>
      <c r="N66" s="63"/>
      <c r="O66" s="7"/>
      <c r="P66" s="7"/>
      <c r="Q66" s="72"/>
    </row>
    <row r="67" spans="1:17" ht="15.75">
      <c r="A67" s="7"/>
      <c r="B67" s="20" t="s">
        <v>519</v>
      </c>
      <c r="C67" s="7"/>
      <c r="D67" s="7"/>
      <c r="E67" s="591"/>
      <c r="F67" s="7"/>
      <c r="G67" s="7"/>
      <c r="H67" s="7"/>
      <c r="I67" s="7"/>
      <c r="J67" s="7"/>
      <c r="K67" s="7"/>
      <c r="L67" s="7"/>
      <c r="M67" s="7"/>
      <c r="N67" s="63"/>
      <c r="O67" s="7"/>
      <c r="P67" s="7"/>
      <c r="Q67" s="72"/>
    </row>
    <row r="68" spans="1:17" ht="15.75">
      <c r="A68" s="7"/>
      <c r="B68" s="7" t="s">
        <v>525</v>
      </c>
      <c r="C68" s="7">
        <f>C27</f>
        <v>1</v>
      </c>
      <c r="D68" s="7" t="s">
        <v>2</v>
      </c>
      <c r="E68" s="591">
        <v>2</v>
      </c>
      <c r="F68" s="7" t="s">
        <v>2</v>
      </c>
      <c r="G68" s="41">
        <v>19.5</v>
      </c>
      <c r="H68" s="7" t="s">
        <v>2</v>
      </c>
      <c r="I68" s="7">
        <v>0.75</v>
      </c>
      <c r="J68" s="7" t="s">
        <v>2</v>
      </c>
      <c r="K68" s="41">
        <v>11</v>
      </c>
      <c r="L68" s="7" t="s">
        <v>3</v>
      </c>
      <c r="M68" s="578">
        <f>C68*E68*G68*I68*K68</f>
        <v>321.75</v>
      </c>
      <c r="N68" s="63" t="s">
        <v>6</v>
      </c>
      <c r="O68" s="7"/>
      <c r="P68" s="7"/>
      <c r="Q68" s="72"/>
    </row>
    <row r="69" spans="1:17" ht="15.75">
      <c r="A69" s="7"/>
      <c r="B69" s="7"/>
      <c r="C69" s="7"/>
      <c r="D69" s="7"/>
      <c r="E69" s="591"/>
      <c r="F69" s="7"/>
      <c r="G69" s="41"/>
      <c r="H69" s="7"/>
      <c r="I69" s="7"/>
      <c r="J69" s="7"/>
      <c r="K69" s="41"/>
      <c r="L69" s="7"/>
      <c r="M69" s="578"/>
      <c r="N69" s="63"/>
      <c r="O69" s="7"/>
      <c r="P69" s="7"/>
      <c r="Q69" s="72"/>
    </row>
    <row r="70" spans="1:17" ht="15.75">
      <c r="A70" s="7"/>
      <c r="B70" s="7" t="s">
        <v>99</v>
      </c>
      <c r="C70" s="7">
        <f>C68</f>
        <v>1</v>
      </c>
      <c r="D70" s="7" t="s">
        <v>2</v>
      </c>
      <c r="E70" s="591">
        <v>2</v>
      </c>
      <c r="F70" s="7" t="s">
        <v>2</v>
      </c>
      <c r="G70" s="79">
        <v>14</v>
      </c>
      <c r="H70" s="7" t="s">
        <v>2</v>
      </c>
      <c r="I70" s="7">
        <v>0.75</v>
      </c>
      <c r="J70" s="7" t="s">
        <v>2</v>
      </c>
      <c r="K70" s="41">
        <f>K68</f>
        <v>11</v>
      </c>
      <c r="L70" s="7" t="s">
        <v>3</v>
      </c>
      <c r="M70" s="672">
        <f t="shared" ref="M70" si="4">C70*E70*G70*I70*K70</f>
        <v>231</v>
      </c>
      <c r="N70" s="63" t="s">
        <v>6</v>
      </c>
      <c r="O70" s="7"/>
      <c r="P70" s="7"/>
      <c r="Q70" s="72"/>
    </row>
    <row r="71" spans="1:17" ht="15.75">
      <c r="A71" s="7"/>
      <c r="B71" s="75"/>
      <c r="C71" s="75"/>
      <c r="D71" s="75"/>
      <c r="E71" s="591"/>
      <c r="F71" s="7"/>
      <c r="G71" s="7"/>
      <c r="H71" s="7"/>
      <c r="I71" s="7"/>
      <c r="J71" s="7"/>
      <c r="K71" s="7"/>
      <c r="L71" s="7"/>
      <c r="M71" s="575">
        <f>SUM(M68:M70)</f>
        <v>552.75</v>
      </c>
      <c r="N71" s="63"/>
      <c r="O71" s="7"/>
      <c r="P71" s="7"/>
      <c r="Q71" s="72"/>
    </row>
    <row r="72" spans="1:17" ht="15.75">
      <c r="A72" s="7"/>
      <c r="B72" s="20" t="s">
        <v>33</v>
      </c>
      <c r="C72" s="75"/>
      <c r="D72" s="75"/>
      <c r="E72" s="591"/>
      <c r="F72" s="7"/>
      <c r="G72" s="7"/>
      <c r="H72" s="7"/>
      <c r="I72" s="7"/>
      <c r="J72" s="7"/>
      <c r="K72" s="7"/>
      <c r="L72" s="7"/>
      <c r="M72" s="578"/>
      <c r="N72" s="63"/>
      <c r="O72" s="7"/>
      <c r="P72" s="7"/>
      <c r="Q72" s="72"/>
    </row>
    <row r="73" spans="1:17" ht="15.75">
      <c r="A73" s="7"/>
      <c r="B73" s="7" t="s">
        <v>536</v>
      </c>
      <c r="C73" s="7">
        <v>1</v>
      </c>
      <c r="D73" s="7" t="s">
        <v>2</v>
      </c>
      <c r="E73" s="591">
        <v>4</v>
      </c>
      <c r="F73" s="7" t="s">
        <v>2</v>
      </c>
      <c r="G73" s="41">
        <v>0.75</v>
      </c>
      <c r="H73" s="7" t="s">
        <v>2</v>
      </c>
      <c r="I73" s="79">
        <v>7</v>
      </c>
      <c r="J73" s="7"/>
      <c r="K73" s="79"/>
      <c r="L73" s="7"/>
      <c r="M73" s="578">
        <f>C73*E73*G73*I73</f>
        <v>21</v>
      </c>
      <c r="N73" s="63" t="s">
        <v>6</v>
      </c>
      <c r="O73" s="7"/>
      <c r="P73" s="7"/>
      <c r="Q73" s="72"/>
    </row>
    <row r="74" spans="1:17" ht="15.75">
      <c r="A74" s="7"/>
      <c r="B74" s="7" t="s">
        <v>529</v>
      </c>
      <c r="C74" s="7">
        <v>2</v>
      </c>
      <c r="D74" s="7" t="s">
        <v>2</v>
      </c>
      <c r="E74" s="591">
        <v>1</v>
      </c>
      <c r="F74" s="7" t="s">
        <v>2</v>
      </c>
      <c r="G74" s="41">
        <v>3</v>
      </c>
      <c r="H74" s="7" t="s">
        <v>2</v>
      </c>
      <c r="I74" s="41">
        <v>0.75</v>
      </c>
      <c r="J74" s="7" t="s">
        <v>2</v>
      </c>
      <c r="K74" s="79">
        <v>4</v>
      </c>
      <c r="L74" s="7"/>
      <c r="M74" s="578">
        <f t="shared" ref="M74" si="5">C74*E74*G74*I74*K74</f>
        <v>18</v>
      </c>
      <c r="N74" s="63" t="s">
        <v>6</v>
      </c>
      <c r="O74" s="7"/>
      <c r="P74" s="7"/>
      <c r="Q74" s="72"/>
    </row>
    <row r="75" spans="1:17" ht="15.75">
      <c r="A75" s="7"/>
      <c r="B75" s="7" t="s">
        <v>537</v>
      </c>
      <c r="C75" s="7">
        <f>C73</f>
        <v>1</v>
      </c>
      <c r="D75" s="7" t="s">
        <v>2</v>
      </c>
      <c r="E75" s="591">
        <v>5</v>
      </c>
      <c r="F75" s="7" t="s">
        <v>2</v>
      </c>
      <c r="G75" s="41">
        <v>0.75</v>
      </c>
      <c r="H75" s="7" t="s">
        <v>2</v>
      </c>
      <c r="I75" s="41">
        <v>0.5</v>
      </c>
      <c r="J75" s="7"/>
      <c r="K75" s="79"/>
      <c r="L75" s="7"/>
      <c r="M75" s="578">
        <f>C75*E75*G75*I75</f>
        <v>1.875</v>
      </c>
      <c r="N75" s="63" t="s">
        <v>6</v>
      </c>
      <c r="O75" s="7"/>
      <c r="P75" s="7"/>
      <c r="Q75" s="72"/>
    </row>
    <row r="76" spans="1:17" ht="15.75">
      <c r="A76" s="7"/>
      <c r="B76" s="7" t="s">
        <v>538</v>
      </c>
      <c r="C76" s="7">
        <f>C74</f>
        <v>2</v>
      </c>
      <c r="D76" s="7" t="s">
        <v>2</v>
      </c>
      <c r="E76" s="591">
        <v>1</v>
      </c>
      <c r="F76" s="7" t="s">
        <v>2</v>
      </c>
      <c r="G76" s="79">
        <v>4</v>
      </c>
      <c r="H76" s="7" t="s">
        <v>2</v>
      </c>
      <c r="I76" s="41">
        <v>0.75</v>
      </c>
      <c r="J76" s="7" t="s">
        <v>2</v>
      </c>
      <c r="K76" s="41">
        <v>0.5</v>
      </c>
      <c r="L76" s="7"/>
      <c r="M76" s="578">
        <f>C76*E76*G76*I76*K76</f>
        <v>3</v>
      </c>
      <c r="N76" s="63" t="s">
        <v>6</v>
      </c>
      <c r="O76" s="7"/>
      <c r="P76" s="7"/>
      <c r="Q76" s="72"/>
    </row>
    <row r="77" spans="1:17" ht="15.75">
      <c r="A77" s="7"/>
      <c r="B77" s="7"/>
      <c r="C77" s="7"/>
      <c r="D77" s="7"/>
      <c r="E77" s="591"/>
      <c r="F77" s="7"/>
      <c r="G77" s="7"/>
      <c r="H77" s="7"/>
      <c r="I77" s="7"/>
      <c r="J77" s="7"/>
      <c r="K77" s="7"/>
      <c r="L77" s="7"/>
      <c r="M77" s="575">
        <f>SUM(M73:M76)</f>
        <v>43.875</v>
      </c>
      <c r="N77" s="63" t="s">
        <v>6</v>
      </c>
      <c r="O77" s="7"/>
      <c r="P77" s="7"/>
      <c r="Q77" s="72"/>
    </row>
    <row r="78" spans="1:17" ht="15.75">
      <c r="A78" s="7"/>
      <c r="B78" s="7" t="s">
        <v>480</v>
      </c>
      <c r="C78" s="7"/>
      <c r="D78" s="7"/>
      <c r="E78" s="925">
        <f>M71</f>
        <v>552.75</v>
      </c>
      <c r="F78" s="925"/>
      <c r="G78" s="925"/>
      <c r="H78" s="7" t="s">
        <v>539</v>
      </c>
      <c r="I78" s="925">
        <f>M77</f>
        <v>43.875</v>
      </c>
      <c r="J78" s="925"/>
      <c r="K78" s="7"/>
      <c r="L78" s="7" t="s">
        <v>21</v>
      </c>
      <c r="M78" s="575">
        <f>E78-I78</f>
        <v>508.875</v>
      </c>
      <c r="N78" s="63" t="s">
        <v>6</v>
      </c>
      <c r="O78" s="7"/>
      <c r="P78" s="7"/>
      <c r="Q78" s="72"/>
    </row>
    <row r="79" spans="1:17" ht="15.75">
      <c r="A79" s="7"/>
      <c r="B79" s="68">
        <v>508.88</v>
      </c>
      <c r="C79" s="68"/>
      <c r="D79" s="68"/>
      <c r="E79" s="579" t="s">
        <v>6</v>
      </c>
      <c r="F79" s="69"/>
      <c r="G79" s="69"/>
      <c r="H79" s="7"/>
      <c r="I79" s="7"/>
      <c r="J79" s="7"/>
      <c r="K79" s="7"/>
      <c r="L79" s="7"/>
      <c r="M79" s="143" t="s">
        <v>213</v>
      </c>
      <c r="N79" s="576">
        <v>12674.36</v>
      </c>
      <c r="O79" s="7" t="s">
        <v>12</v>
      </c>
      <c r="P79" s="7" t="s">
        <v>16</v>
      </c>
      <c r="Q79" s="72">
        <f>B79*N79/100</f>
        <v>64497.283168000002</v>
      </c>
    </row>
    <row r="80" spans="1:17" ht="15.75">
      <c r="A80" s="7"/>
      <c r="B80" s="68"/>
      <c r="C80" s="68"/>
      <c r="D80" s="68"/>
      <c r="E80" s="579"/>
      <c r="F80" s="69"/>
      <c r="G80" s="69"/>
      <c r="H80" s="7"/>
      <c r="I80" s="7"/>
      <c r="J80" s="7"/>
      <c r="K80" s="7"/>
      <c r="L80" s="7"/>
      <c r="M80" s="143"/>
      <c r="N80" s="576"/>
      <c r="O80" s="7"/>
      <c r="P80" s="7"/>
      <c r="Q80" s="72"/>
    </row>
    <row r="81" spans="1:17" ht="15.75">
      <c r="A81" s="7">
        <v>8</v>
      </c>
      <c r="B81" s="576" t="s">
        <v>540</v>
      </c>
      <c r="C81" s="576"/>
      <c r="D81" s="576"/>
      <c r="E81" s="579"/>
      <c r="F81" s="579"/>
      <c r="G81" s="579"/>
      <c r="H81" s="7"/>
      <c r="I81" s="7"/>
      <c r="J81" s="7"/>
      <c r="K81" s="7"/>
      <c r="L81" s="7"/>
      <c r="M81" s="272"/>
      <c r="N81" s="63"/>
      <c r="O81" s="7"/>
      <c r="P81" s="7"/>
      <c r="Q81" s="72"/>
    </row>
    <row r="82" spans="1:17" ht="15.75">
      <c r="A82" s="7"/>
      <c r="B82" s="576" t="s">
        <v>541</v>
      </c>
      <c r="C82" s="576"/>
      <c r="D82" s="576"/>
      <c r="E82" s="579"/>
      <c r="F82" s="579"/>
      <c r="G82" s="579"/>
      <c r="H82" s="7"/>
      <c r="I82" s="7"/>
      <c r="J82" s="7"/>
      <c r="K82" s="7"/>
      <c r="L82" s="7"/>
      <c r="M82" s="272"/>
      <c r="N82" s="63"/>
      <c r="O82" s="7"/>
      <c r="P82" s="7"/>
      <c r="Q82" s="72"/>
    </row>
    <row r="83" spans="1:17" ht="15.75">
      <c r="A83" s="7"/>
      <c r="B83" s="20" t="s">
        <v>519</v>
      </c>
      <c r="C83" s="576"/>
      <c r="D83" s="576"/>
      <c r="E83" s="579"/>
      <c r="F83" s="579"/>
      <c r="G83" s="579"/>
      <c r="H83" s="7"/>
      <c r="I83" s="7"/>
      <c r="J83" s="7"/>
      <c r="K83" s="7"/>
      <c r="L83" s="7"/>
      <c r="M83" s="272"/>
      <c r="N83" s="63"/>
      <c r="O83" s="7"/>
      <c r="P83" s="7"/>
      <c r="Q83" s="72"/>
    </row>
    <row r="84" spans="1:17" ht="15.75">
      <c r="A84" s="7"/>
      <c r="B84" s="576" t="s">
        <v>542</v>
      </c>
      <c r="C84" s="576"/>
      <c r="D84" s="942">
        <f>C7</f>
        <v>1</v>
      </c>
      <c r="E84" s="942"/>
      <c r="F84" s="591" t="s">
        <v>2</v>
      </c>
      <c r="G84" s="578">
        <v>17.62</v>
      </c>
      <c r="H84" s="7" t="s">
        <v>2</v>
      </c>
      <c r="I84" s="599">
        <v>13.62</v>
      </c>
      <c r="J84" s="7" t="s">
        <v>2</v>
      </c>
      <c r="K84" s="578">
        <v>3</v>
      </c>
      <c r="L84" s="7" t="s">
        <v>3</v>
      </c>
      <c r="M84" s="600">
        <f>D84*G84*I84*K84</f>
        <v>719.95319999999992</v>
      </c>
      <c r="N84" s="63" t="s">
        <v>6</v>
      </c>
      <c r="O84" s="7"/>
      <c r="P84" s="7"/>
      <c r="Q84" s="72"/>
    </row>
    <row r="85" spans="1:17" ht="15.75">
      <c r="A85" s="7"/>
      <c r="B85" s="576"/>
      <c r="C85" s="576"/>
      <c r="D85" s="591"/>
      <c r="E85" s="591"/>
      <c r="F85" s="591"/>
      <c r="G85" s="578"/>
      <c r="H85" s="7"/>
      <c r="I85" s="41"/>
      <c r="J85" s="7"/>
      <c r="K85" s="7"/>
      <c r="L85" s="7"/>
      <c r="M85" s="79">
        <f>SUM(M84:M84)</f>
        <v>719.95319999999992</v>
      </c>
      <c r="N85" s="63"/>
      <c r="O85" s="7"/>
      <c r="P85" s="7"/>
      <c r="Q85" s="72"/>
    </row>
    <row r="86" spans="1:17" ht="15.75">
      <c r="A86" s="7"/>
      <c r="B86" s="68">
        <v>720</v>
      </c>
      <c r="C86" s="68"/>
      <c r="D86" s="68"/>
      <c r="E86" s="575" t="s">
        <v>6</v>
      </c>
      <c r="F86" s="68"/>
      <c r="G86" s="68"/>
      <c r="H86" s="7"/>
      <c r="I86" s="7"/>
      <c r="J86" s="7"/>
      <c r="K86" s="7"/>
      <c r="L86" s="7"/>
      <c r="M86" s="143" t="s">
        <v>213</v>
      </c>
      <c r="N86" s="63">
        <v>3630</v>
      </c>
      <c r="O86" s="7" t="s">
        <v>1</v>
      </c>
      <c r="P86" s="7" t="s">
        <v>16</v>
      </c>
      <c r="Q86" s="72">
        <f>B86*N86/1000</f>
        <v>2613.6</v>
      </c>
    </row>
    <row r="87" spans="1:17" ht="15.75">
      <c r="A87" s="7"/>
      <c r="B87" s="68"/>
      <c r="C87" s="68"/>
      <c r="D87" s="68"/>
      <c r="E87" s="579"/>
      <c r="F87" s="69"/>
      <c r="G87" s="69"/>
      <c r="H87" s="7"/>
      <c r="I87" s="7"/>
      <c r="J87" s="7"/>
      <c r="K87" s="7"/>
      <c r="L87" s="7"/>
      <c r="M87" s="143"/>
      <c r="N87" s="576"/>
      <c r="O87" s="7"/>
      <c r="P87" s="7"/>
      <c r="Q87" s="72"/>
    </row>
    <row r="88" spans="1:17" ht="15.75">
      <c r="A88" s="80">
        <v>9</v>
      </c>
      <c r="B88" s="7" t="s">
        <v>543</v>
      </c>
      <c r="C88" s="7"/>
      <c r="D88" s="7"/>
      <c r="E88" s="591"/>
      <c r="F88" s="7"/>
      <c r="G88" s="7"/>
      <c r="H88" s="7"/>
      <c r="I88" s="7"/>
      <c r="J88" s="7"/>
      <c r="K88" s="7"/>
      <c r="L88" s="7"/>
      <c r="M88" s="7"/>
      <c r="N88" s="63"/>
      <c r="O88" s="7"/>
      <c r="P88" s="7"/>
      <c r="Q88" s="72"/>
    </row>
    <row r="89" spans="1:17" ht="15.75">
      <c r="A89" s="80"/>
      <c r="B89" s="7" t="s">
        <v>544</v>
      </c>
      <c r="C89" s="7"/>
      <c r="D89" s="7"/>
      <c r="E89" s="591"/>
      <c r="F89" s="7"/>
      <c r="G89" s="7"/>
      <c r="H89" s="7"/>
      <c r="I89" s="7"/>
      <c r="J89" s="7"/>
      <c r="K89" s="7"/>
      <c r="L89" s="7"/>
      <c r="M89" s="7"/>
      <c r="N89" s="63"/>
      <c r="O89" s="7"/>
      <c r="P89" s="7"/>
      <c r="Q89" s="72"/>
    </row>
    <row r="90" spans="1:17" ht="15.75">
      <c r="A90" s="7"/>
      <c r="B90" s="20" t="s">
        <v>519</v>
      </c>
      <c r="C90" s="41"/>
      <c r="D90" s="942">
        <f>D84</f>
        <v>1</v>
      </c>
      <c r="E90" s="942"/>
      <c r="F90" s="7" t="s">
        <v>2</v>
      </c>
      <c r="G90" s="79">
        <v>18</v>
      </c>
      <c r="H90" s="79" t="s">
        <v>2</v>
      </c>
      <c r="I90" s="79">
        <v>14</v>
      </c>
      <c r="J90" s="7"/>
      <c r="K90" s="7"/>
      <c r="L90" s="7" t="s">
        <v>3</v>
      </c>
      <c r="M90" s="41">
        <f>D90*G90*I90</f>
        <v>252</v>
      </c>
      <c r="N90" s="63" t="s">
        <v>8</v>
      </c>
      <c r="O90" s="7"/>
      <c r="P90" s="7"/>
      <c r="Q90" s="72"/>
    </row>
    <row r="91" spans="1:17" ht="15.75">
      <c r="A91" s="7"/>
      <c r="B91" s="41"/>
      <c r="C91" s="41"/>
      <c r="D91" s="591"/>
      <c r="E91" s="591"/>
      <c r="F91" s="7"/>
      <c r="G91" s="7"/>
      <c r="H91" s="7"/>
      <c r="I91" s="7"/>
      <c r="J91" s="7"/>
      <c r="K91" s="7"/>
      <c r="L91" s="7"/>
      <c r="M91" s="41">
        <f>SUM(M90:M90)</f>
        <v>252</v>
      </c>
      <c r="N91" s="63"/>
      <c r="O91" s="7"/>
      <c r="P91" s="7"/>
      <c r="Q91" s="72"/>
    </row>
    <row r="92" spans="1:17" ht="15.75">
      <c r="A92" s="7"/>
      <c r="B92" s="68">
        <f>M91</f>
        <v>252</v>
      </c>
      <c r="C92" s="68"/>
      <c r="D92" s="68"/>
      <c r="E92" s="579" t="s">
        <v>8</v>
      </c>
      <c r="F92" s="69"/>
      <c r="G92" s="69"/>
      <c r="H92" s="7"/>
      <c r="I92" s="7"/>
      <c r="J92" s="7"/>
      <c r="K92" s="7"/>
      <c r="L92" s="7"/>
      <c r="M92" s="143" t="s">
        <v>213</v>
      </c>
      <c r="N92" s="63">
        <v>4411.82</v>
      </c>
      <c r="O92" s="7" t="s">
        <v>7</v>
      </c>
      <c r="P92" s="7" t="s">
        <v>16</v>
      </c>
      <c r="Q92" s="72">
        <f>B92*N92/100</f>
        <v>11117.786399999999</v>
      </c>
    </row>
    <row r="93" spans="1:17" ht="15.75">
      <c r="A93" s="7">
        <v>10</v>
      </c>
      <c r="B93" s="7" t="s">
        <v>545</v>
      </c>
      <c r="C93" s="7"/>
      <c r="D93" s="7"/>
      <c r="E93" s="591"/>
      <c r="F93" s="7"/>
      <c r="G93" s="7"/>
      <c r="H93" s="7"/>
      <c r="I93" s="7"/>
      <c r="J93" s="7"/>
      <c r="K93" s="7"/>
      <c r="L93" s="7"/>
      <c r="M93" s="7"/>
      <c r="N93" s="63"/>
      <c r="O93" s="7"/>
      <c r="P93" s="7"/>
      <c r="Q93" s="72"/>
    </row>
    <row r="94" spans="1:17" ht="15.75">
      <c r="A94" s="7"/>
      <c r="B94" s="20" t="s">
        <v>519</v>
      </c>
      <c r="C94" s="7"/>
      <c r="D94" s="7"/>
      <c r="E94" s="591"/>
      <c r="F94" s="7"/>
      <c r="G94" s="7"/>
      <c r="H94" s="7"/>
      <c r="I94" s="7"/>
      <c r="J94" s="7"/>
      <c r="K94" s="7"/>
      <c r="L94" s="7"/>
      <c r="M94" s="7"/>
      <c r="N94" s="63"/>
      <c r="O94" s="7"/>
      <c r="P94" s="7"/>
      <c r="Q94" s="72"/>
    </row>
    <row r="95" spans="1:17" ht="15.75">
      <c r="A95" s="7"/>
      <c r="B95" s="7" t="s">
        <v>546</v>
      </c>
      <c r="C95" s="7">
        <f>D90</f>
        <v>1</v>
      </c>
      <c r="D95" s="7" t="s">
        <v>2</v>
      </c>
      <c r="E95" s="591">
        <v>2</v>
      </c>
      <c r="F95" s="7" t="s">
        <v>2</v>
      </c>
      <c r="G95" s="79">
        <v>18</v>
      </c>
      <c r="H95" s="79" t="s">
        <v>2</v>
      </c>
      <c r="I95" s="140">
        <v>10.75</v>
      </c>
      <c r="J95" s="601"/>
      <c r="K95" s="140"/>
      <c r="L95" s="7"/>
      <c r="M95" s="601">
        <f>C95*E95*G95*I95</f>
        <v>387</v>
      </c>
      <c r="N95" s="63" t="s">
        <v>8</v>
      </c>
      <c r="O95" s="7"/>
      <c r="P95" s="7"/>
      <c r="Q95" s="72"/>
    </row>
    <row r="96" spans="1:17" ht="15.75">
      <c r="A96" s="7"/>
      <c r="B96" s="7"/>
      <c r="C96" s="7"/>
      <c r="D96" s="7"/>
      <c r="E96" s="591"/>
      <c r="F96" s="7"/>
      <c r="G96" s="79"/>
      <c r="H96" s="79"/>
      <c r="I96" s="1022"/>
      <c r="J96" s="1022"/>
      <c r="K96" s="1022"/>
      <c r="L96" s="7"/>
      <c r="M96" s="601"/>
      <c r="N96" s="63"/>
      <c r="O96" s="7"/>
      <c r="P96" s="7"/>
      <c r="Q96" s="72"/>
    </row>
    <row r="97" spans="1:17" ht="15.75">
      <c r="A97" s="7"/>
      <c r="B97" s="7" t="s">
        <v>547</v>
      </c>
      <c r="C97" s="7">
        <f>D92</f>
        <v>0</v>
      </c>
      <c r="D97" s="7" t="s">
        <v>2</v>
      </c>
      <c r="E97" s="591">
        <v>2</v>
      </c>
      <c r="F97" s="7" t="s">
        <v>2</v>
      </c>
      <c r="G97" s="79">
        <v>14</v>
      </c>
      <c r="H97" s="79" t="s">
        <v>2</v>
      </c>
      <c r="I97" s="140">
        <v>10.75</v>
      </c>
      <c r="J97" s="601"/>
      <c r="K97" s="140"/>
      <c r="L97" s="601"/>
      <c r="M97" s="601">
        <f>E97*G97*I97</f>
        <v>301</v>
      </c>
      <c r="N97" s="63" t="s">
        <v>8</v>
      </c>
      <c r="O97" s="7"/>
      <c r="P97" s="7"/>
      <c r="Q97" s="72"/>
    </row>
    <row r="98" spans="1:17" ht="15.75">
      <c r="A98" s="7"/>
      <c r="B98" s="7"/>
      <c r="C98" s="7"/>
      <c r="D98" s="7"/>
      <c r="E98" s="665"/>
      <c r="F98" s="7"/>
      <c r="G98" s="79"/>
      <c r="H98" s="79"/>
      <c r="I98" s="140"/>
      <c r="J98" s="601"/>
      <c r="K98" s="140"/>
      <c r="L98" s="601"/>
      <c r="M98" s="601"/>
      <c r="N98" s="63"/>
      <c r="O98" s="7"/>
      <c r="P98" s="7"/>
      <c r="Q98" s="72"/>
    </row>
    <row r="99" spans="1:17" ht="15.75">
      <c r="A99" s="7"/>
      <c r="B99" s="7"/>
      <c r="C99" s="7"/>
      <c r="D99" s="7"/>
      <c r="E99" s="665"/>
      <c r="F99" s="7"/>
      <c r="G99" s="79"/>
      <c r="H99" s="79"/>
      <c r="I99" s="140"/>
      <c r="J99" s="601"/>
      <c r="K99" s="140"/>
      <c r="L99" s="601"/>
      <c r="M99" s="601"/>
      <c r="N99" s="63"/>
      <c r="O99" s="7"/>
      <c r="P99" s="7"/>
      <c r="Q99" s="72"/>
    </row>
    <row r="100" spans="1:17" ht="15.75">
      <c r="A100" s="7"/>
      <c r="B100" s="32" t="s">
        <v>548</v>
      </c>
      <c r="C100" s="7"/>
      <c r="D100" s="7"/>
      <c r="E100" s="591"/>
      <c r="F100" s="7"/>
      <c r="G100" s="79"/>
      <c r="H100" s="79"/>
      <c r="I100" s="1022"/>
      <c r="J100" s="1022"/>
      <c r="K100" s="1022"/>
      <c r="L100" s="7"/>
      <c r="M100" s="601"/>
      <c r="N100" s="63"/>
      <c r="O100" s="7"/>
      <c r="P100" s="7"/>
      <c r="Q100" s="72"/>
    </row>
    <row r="101" spans="1:17" ht="15.75">
      <c r="A101" s="7"/>
      <c r="B101" s="7"/>
      <c r="C101" s="7">
        <v>1</v>
      </c>
      <c r="D101" s="7" t="s">
        <v>2</v>
      </c>
      <c r="E101" s="577">
        <v>3</v>
      </c>
      <c r="F101" s="7" t="s">
        <v>2</v>
      </c>
      <c r="G101" s="41">
        <v>5</v>
      </c>
      <c r="H101" s="79" t="s">
        <v>2</v>
      </c>
      <c r="I101" s="602">
        <v>1</v>
      </c>
      <c r="J101" s="601" t="s">
        <v>135</v>
      </c>
      <c r="K101" s="140">
        <v>0.75</v>
      </c>
      <c r="L101" s="7" t="s">
        <v>3</v>
      </c>
      <c r="M101" s="601">
        <v>26.25</v>
      </c>
      <c r="N101" s="63" t="s">
        <v>8</v>
      </c>
      <c r="O101" s="7"/>
      <c r="P101" s="7"/>
      <c r="Q101" s="72"/>
    </row>
    <row r="102" spans="1:17" ht="15.75">
      <c r="A102" s="7"/>
      <c r="B102" s="7"/>
      <c r="C102" s="7">
        <v>1</v>
      </c>
      <c r="D102" s="7" t="s">
        <v>2</v>
      </c>
      <c r="E102" s="591">
        <v>2</v>
      </c>
      <c r="F102" s="7" t="s">
        <v>2</v>
      </c>
      <c r="G102" s="41" t="s">
        <v>549</v>
      </c>
      <c r="H102" s="79" t="s">
        <v>135</v>
      </c>
      <c r="I102" s="602">
        <v>1</v>
      </c>
      <c r="J102" s="601" t="s">
        <v>2</v>
      </c>
      <c r="K102" s="140">
        <v>0.75</v>
      </c>
      <c r="L102" s="7" t="s">
        <v>3</v>
      </c>
      <c r="M102" s="140">
        <v>9</v>
      </c>
      <c r="N102" s="63" t="s">
        <v>8</v>
      </c>
      <c r="O102" s="7"/>
      <c r="P102" s="7"/>
      <c r="Q102" s="72"/>
    </row>
    <row r="103" spans="1:17" ht="15.75">
      <c r="A103" s="7"/>
      <c r="B103" s="7"/>
      <c r="C103" s="7">
        <v>1</v>
      </c>
      <c r="D103" s="7" t="s">
        <v>2</v>
      </c>
      <c r="E103" s="591">
        <v>2</v>
      </c>
      <c r="F103" s="7" t="s">
        <v>2</v>
      </c>
      <c r="G103" s="41">
        <v>19.87</v>
      </c>
      <c r="H103" s="79" t="s">
        <v>2</v>
      </c>
      <c r="I103" s="602">
        <v>3</v>
      </c>
      <c r="J103" s="601"/>
      <c r="K103" s="140"/>
      <c r="L103" s="7" t="s">
        <v>3</v>
      </c>
      <c r="M103" s="601">
        <v>119.22</v>
      </c>
      <c r="N103" s="63" t="s">
        <v>8</v>
      </c>
      <c r="O103" s="7"/>
      <c r="P103" s="7"/>
      <c r="Q103" s="72"/>
    </row>
    <row r="104" spans="1:17" ht="15.75">
      <c r="A104" s="7"/>
      <c r="B104" s="7" t="s">
        <v>550</v>
      </c>
      <c r="C104" s="7">
        <v>1</v>
      </c>
      <c r="D104" s="591" t="s">
        <v>2</v>
      </c>
      <c r="E104" s="591">
        <v>2</v>
      </c>
      <c r="F104" s="41" t="s">
        <v>2</v>
      </c>
      <c r="G104" s="7">
        <v>13.62</v>
      </c>
      <c r="H104" s="79" t="s">
        <v>2</v>
      </c>
      <c r="I104" s="7">
        <v>3</v>
      </c>
      <c r="J104" s="79"/>
      <c r="K104" s="7"/>
      <c r="L104" s="578" t="s">
        <v>21</v>
      </c>
      <c r="M104" s="591">
        <v>81.72</v>
      </c>
      <c r="N104" s="63" t="s">
        <v>8</v>
      </c>
      <c r="O104" s="7"/>
      <c r="P104" s="7"/>
      <c r="Q104" s="72"/>
    </row>
    <row r="105" spans="1:17" ht="15.75">
      <c r="A105" s="7"/>
      <c r="B105" s="7"/>
      <c r="C105" s="7"/>
      <c r="D105" s="7"/>
      <c r="E105" s="591"/>
      <c r="F105" s="7"/>
      <c r="G105" s="7"/>
      <c r="H105" s="7"/>
      <c r="I105" s="1022"/>
      <c r="J105" s="1023"/>
      <c r="K105" s="1023"/>
      <c r="L105" s="7"/>
      <c r="M105" s="73">
        <f>SUM(M95:M104)</f>
        <v>924.19</v>
      </c>
      <c r="N105" s="63" t="s">
        <v>8</v>
      </c>
      <c r="O105" s="7"/>
      <c r="P105" s="7"/>
      <c r="Q105" s="72"/>
    </row>
    <row r="106" spans="1:17" ht="15.75">
      <c r="A106" s="7"/>
      <c r="B106" s="7"/>
      <c r="C106" s="7"/>
      <c r="D106" s="7"/>
      <c r="E106" s="591"/>
      <c r="F106" s="7"/>
      <c r="G106" s="7"/>
      <c r="H106" s="7"/>
      <c r="I106" s="580"/>
      <c r="J106" s="603"/>
      <c r="K106" s="603"/>
      <c r="L106" s="7"/>
      <c r="M106" s="73"/>
      <c r="N106" s="63"/>
      <c r="O106" s="7"/>
      <c r="P106" s="7"/>
      <c r="Q106" s="72"/>
    </row>
    <row r="107" spans="1:17" ht="15.75">
      <c r="A107" s="7"/>
      <c r="B107" s="20" t="s">
        <v>33</v>
      </c>
      <c r="C107" s="75"/>
      <c r="D107" s="75"/>
      <c r="E107" s="591"/>
      <c r="F107" s="7"/>
      <c r="G107" s="7"/>
      <c r="H107" s="7"/>
      <c r="I107" s="7"/>
      <c r="J107" s="7"/>
      <c r="K107" s="7"/>
      <c r="L107" s="7"/>
      <c r="M107" s="578"/>
      <c r="N107" s="63"/>
      <c r="O107" s="7"/>
      <c r="P107" s="7"/>
      <c r="Q107" s="72"/>
    </row>
    <row r="108" spans="1:17" ht="15.75">
      <c r="A108" s="7"/>
      <c r="B108" s="7" t="s">
        <v>536</v>
      </c>
      <c r="C108" s="7">
        <f>C73</f>
        <v>1</v>
      </c>
      <c r="D108" s="7" t="s">
        <v>2</v>
      </c>
      <c r="E108" s="591">
        <v>4</v>
      </c>
      <c r="F108" s="7" t="s">
        <v>2</v>
      </c>
      <c r="G108" s="79">
        <v>7</v>
      </c>
      <c r="H108" s="7"/>
      <c r="I108" s="79"/>
      <c r="J108" s="7"/>
      <c r="K108" s="79"/>
      <c r="L108" s="7"/>
      <c r="M108" s="578">
        <f>C108*E108*G108</f>
        <v>28</v>
      </c>
      <c r="N108" s="63" t="s">
        <v>8</v>
      </c>
      <c r="O108" s="7"/>
      <c r="P108" s="7"/>
      <c r="Q108" s="72"/>
    </row>
    <row r="109" spans="1:17" ht="15.75">
      <c r="A109" s="7"/>
      <c r="B109" s="7" t="s">
        <v>529</v>
      </c>
      <c r="C109" s="7">
        <f>C76</f>
        <v>2</v>
      </c>
      <c r="D109" s="7" t="s">
        <v>2</v>
      </c>
      <c r="E109" s="591">
        <v>1</v>
      </c>
      <c r="F109" s="7" t="s">
        <v>2</v>
      </c>
      <c r="G109" s="79">
        <v>3</v>
      </c>
      <c r="H109" s="7" t="s">
        <v>2</v>
      </c>
      <c r="I109" s="79">
        <v>4</v>
      </c>
      <c r="J109" s="7"/>
      <c r="K109" s="79"/>
      <c r="L109" s="7"/>
      <c r="M109" s="578">
        <f>C109*E109*G109*I109</f>
        <v>24</v>
      </c>
      <c r="N109" s="63" t="s">
        <v>8</v>
      </c>
      <c r="O109" s="7"/>
      <c r="P109" s="7"/>
      <c r="Q109" s="72"/>
    </row>
    <row r="110" spans="1:17" ht="15.75">
      <c r="A110" s="7"/>
      <c r="B110" s="7"/>
      <c r="C110" s="7"/>
      <c r="D110" s="7"/>
      <c r="E110" s="591"/>
      <c r="F110" s="7"/>
      <c r="G110" s="7"/>
      <c r="H110" s="7"/>
      <c r="I110" s="7"/>
      <c r="J110" s="7"/>
      <c r="K110" s="7"/>
      <c r="L110" s="7"/>
      <c r="M110" s="66">
        <f>SUM(M108:M109)</f>
        <v>52</v>
      </c>
      <c r="N110" s="63"/>
      <c r="O110" s="7"/>
      <c r="P110" s="7"/>
      <c r="Q110" s="72"/>
    </row>
    <row r="111" spans="1:17" ht="15.75">
      <c r="A111" s="7"/>
      <c r="B111" s="7">
        <f>M105</f>
        <v>924.19</v>
      </c>
      <c r="C111" s="7"/>
      <c r="D111" s="7" t="s">
        <v>203</v>
      </c>
      <c r="E111" s="925">
        <f>M110</f>
        <v>52</v>
      </c>
      <c r="F111" s="925"/>
      <c r="G111" s="925"/>
      <c r="H111" s="7" t="s">
        <v>21</v>
      </c>
      <c r="I111" s="925">
        <f>B111-E111</f>
        <v>872.19</v>
      </c>
      <c r="J111" s="942"/>
      <c r="K111" s="942"/>
      <c r="L111" s="7"/>
      <c r="M111" s="66"/>
      <c r="N111" s="63"/>
      <c r="O111" s="7"/>
      <c r="P111" s="7"/>
      <c r="Q111" s="72"/>
    </row>
    <row r="112" spans="1:17" ht="15.75">
      <c r="A112" s="7"/>
      <c r="B112" s="68">
        <f>I111</f>
        <v>872.19</v>
      </c>
      <c r="C112" s="69"/>
      <c r="D112" s="69"/>
      <c r="E112" s="579" t="s">
        <v>8</v>
      </c>
      <c r="F112" s="69"/>
      <c r="G112" s="69"/>
      <c r="H112" s="7"/>
      <c r="I112" s="7"/>
      <c r="J112" s="7"/>
      <c r="K112" s="7"/>
      <c r="L112" s="7"/>
      <c r="M112" s="143" t="s">
        <v>213</v>
      </c>
      <c r="N112" s="576">
        <v>2206.6</v>
      </c>
      <c r="O112" s="7" t="s">
        <v>7</v>
      </c>
      <c r="P112" s="7" t="s">
        <v>16</v>
      </c>
      <c r="Q112" s="72">
        <f>B112*N112/100</f>
        <v>19245.74454</v>
      </c>
    </row>
    <row r="113" spans="1:17" ht="15.75">
      <c r="A113" s="7"/>
      <c r="B113" s="591"/>
      <c r="C113" s="591"/>
      <c r="D113" s="591"/>
      <c r="E113" s="591"/>
      <c r="F113" s="591"/>
      <c r="G113" s="591"/>
      <c r="H113" s="7"/>
      <c r="I113" s="7"/>
      <c r="J113" s="7"/>
      <c r="K113" s="7"/>
      <c r="L113" s="7"/>
      <c r="M113" s="81"/>
      <c r="N113" s="63"/>
      <c r="O113" s="7"/>
      <c r="P113" s="7"/>
      <c r="Q113" s="72"/>
    </row>
    <row r="114" spans="1:17" ht="15.75">
      <c r="A114" s="7">
        <v>11</v>
      </c>
      <c r="B114" s="7" t="s">
        <v>551</v>
      </c>
      <c r="C114" s="7"/>
      <c r="D114" s="7"/>
      <c r="E114" s="591"/>
      <c r="F114" s="591"/>
      <c r="G114" s="591"/>
      <c r="H114" s="7"/>
      <c r="I114" s="7"/>
      <c r="J114" s="7"/>
      <c r="K114" s="7"/>
      <c r="L114" s="7"/>
      <c r="M114" s="81"/>
      <c r="N114" s="63"/>
      <c r="O114" s="7"/>
      <c r="P114" s="7"/>
      <c r="Q114" s="72"/>
    </row>
    <row r="115" spans="1:17" ht="15.75">
      <c r="A115" s="7"/>
      <c r="B115" s="7" t="s">
        <v>350</v>
      </c>
      <c r="C115" s="7"/>
      <c r="D115" s="7"/>
      <c r="E115" s="591"/>
      <c r="F115" s="591"/>
      <c r="G115" s="591" t="s">
        <v>21</v>
      </c>
      <c r="H115" s="7"/>
      <c r="I115" s="925">
        <f>B112</f>
        <v>872.19</v>
      </c>
      <c r="J115" s="942"/>
      <c r="K115" s="942"/>
      <c r="L115" s="7"/>
      <c r="M115" s="81"/>
      <c r="N115" s="63"/>
      <c r="O115" s="7"/>
      <c r="P115" s="7"/>
      <c r="Q115" s="72"/>
    </row>
    <row r="116" spans="1:17" ht="15.75">
      <c r="A116" s="7"/>
      <c r="B116" s="68">
        <f>I115</f>
        <v>872.19</v>
      </c>
      <c r="C116" s="69"/>
      <c r="D116" s="69"/>
      <c r="E116" s="579" t="s">
        <v>8</v>
      </c>
      <c r="F116" s="69"/>
      <c r="G116" s="69"/>
      <c r="H116" s="7"/>
      <c r="I116" s="7"/>
      <c r="J116" s="7"/>
      <c r="K116" s="7"/>
      <c r="L116" s="7"/>
      <c r="M116" s="272" t="str">
        <f>M112</f>
        <v>@Rs</v>
      </c>
      <c r="N116" s="63">
        <v>2197.52</v>
      </c>
      <c r="O116" s="7" t="s">
        <v>7</v>
      </c>
      <c r="P116" s="7" t="s">
        <v>16</v>
      </c>
      <c r="Q116" s="72">
        <f>B116*N116/100</f>
        <v>19166.549688000003</v>
      </c>
    </row>
    <row r="117" spans="1:17" ht="15.75">
      <c r="A117" s="7"/>
      <c r="B117" s="68"/>
      <c r="C117" s="69"/>
      <c r="D117" s="69"/>
      <c r="E117" s="579"/>
      <c r="F117" s="69"/>
      <c r="G117" s="69"/>
      <c r="H117" s="7"/>
      <c r="I117" s="7"/>
      <c r="J117" s="7"/>
      <c r="K117" s="7"/>
      <c r="L117" s="7"/>
      <c r="M117" s="272"/>
      <c r="N117" s="63"/>
      <c r="O117" s="7"/>
      <c r="P117" s="7"/>
      <c r="Q117" s="72"/>
    </row>
    <row r="118" spans="1:17" ht="15.75">
      <c r="A118" s="7">
        <v>12</v>
      </c>
      <c r="B118" s="7" t="s">
        <v>552</v>
      </c>
      <c r="C118" s="7"/>
      <c r="D118" s="7"/>
      <c r="E118" s="591"/>
      <c r="F118" s="591"/>
      <c r="G118" s="591"/>
      <c r="H118" s="7"/>
      <c r="I118" s="7"/>
      <c r="J118" s="7"/>
      <c r="K118" s="7"/>
      <c r="L118" s="7"/>
      <c r="M118" s="81"/>
      <c r="N118" s="63"/>
      <c r="O118" s="7"/>
      <c r="P118" s="7"/>
      <c r="Q118" s="72"/>
    </row>
    <row r="119" spans="1:17" ht="15.75">
      <c r="A119" s="7"/>
      <c r="B119" s="7" t="s">
        <v>533</v>
      </c>
      <c r="C119" s="7">
        <f>C27</f>
        <v>1</v>
      </c>
      <c r="D119" s="7" t="s">
        <v>2</v>
      </c>
      <c r="E119" s="591">
        <v>2</v>
      </c>
      <c r="F119" s="7" t="s">
        <v>2</v>
      </c>
      <c r="G119" s="578">
        <v>19.5</v>
      </c>
      <c r="H119" s="79" t="s">
        <v>2</v>
      </c>
      <c r="I119" s="238">
        <v>11</v>
      </c>
      <c r="J119" s="79"/>
      <c r="K119" s="238"/>
      <c r="L119" s="7" t="s">
        <v>21</v>
      </c>
      <c r="M119" s="601">
        <v>429</v>
      </c>
      <c r="N119" s="63" t="s">
        <v>8</v>
      </c>
      <c r="O119" s="7"/>
      <c r="P119" s="7"/>
      <c r="Q119" s="72"/>
    </row>
    <row r="120" spans="1:17" ht="15.75">
      <c r="A120" s="7"/>
      <c r="B120" s="7" t="s">
        <v>534</v>
      </c>
      <c r="C120" s="7">
        <v>1</v>
      </c>
      <c r="D120" s="7" t="s">
        <v>2</v>
      </c>
      <c r="E120" s="591">
        <v>2</v>
      </c>
      <c r="F120" s="7" t="s">
        <v>2</v>
      </c>
      <c r="G120" s="577">
        <v>15.5</v>
      </c>
      <c r="H120" s="79" t="s">
        <v>2</v>
      </c>
      <c r="I120" s="238">
        <v>11</v>
      </c>
      <c r="J120" s="79"/>
      <c r="K120" s="238"/>
      <c r="L120" s="7" t="s">
        <v>21</v>
      </c>
      <c r="M120" s="139">
        <v>341</v>
      </c>
      <c r="N120" s="63" t="s">
        <v>8</v>
      </c>
      <c r="O120" s="7"/>
      <c r="P120" s="7"/>
      <c r="Q120" s="72"/>
    </row>
    <row r="121" spans="1:17" ht="15.75">
      <c r="A121" s="7"/>
      <c r="B121" s="7"/>
      <c r="C121" s="7"/>
      <c r="D121" s="7"/>
      <c r="E121" s="591"/>
      <c r="F121" s="7"/>
      <c r="G121" s="7"/>
      <c r="H121" s="7"/>
      <c r="I121" s="7"/>
      <c r="J121" s="7"/>
      <c r="K121" s="7"/>
      <c r="L121" s="7"/>
      <c r="M121" s="7">
        <f>SUM(M119:M120)</f>
        <v>770</v>
      </c>
      <c r="N121" s="63" t="s">
        <v>8</v>
      </c>
      <c r="O121" s="7"/>
      <c r="P121" s="7"/>
      <c r="Q121" s="72"/>
    </row>
    <row r="122" spans="1:17" ht="15.75">
      <c r="A122" s="7"/>
      <c r="B122" s="68">
        <f>M121</f>
        <v>770</v>
      </c>
      <c r="C122" s="69"/>
      <c r="D122" s="69"/>
      <c r="E122" s="579" t="s">
        <v>8</v>
      </c>
      <c r="F122" s="69"/>
      <c r="G122" s="69"/>
      <c r="H122" s="7"/>
      <c r="I122" s="7"/>
      <c r="J122" s="7"/>
      <c r="K122" s="7"/>
      <c r="L122" s="7"/>
      <c r="M122" s="143" t="s">
        <v>213</v>
      </c>
      <c r="N122" s="63">
        <v>1213.58</v>
      </c>
      <c r="O122" s="7" t="s">
        <v>7</v>
      </c>
      <c r="P122" s="7" t="s">
        <v>16</v>
      </c>
      <c r="Q122" s="72">
        <f>B122*N122/100</f>
        <v>9344.5659999999989</v>
      </c>
    </row>
    <row r="123" spans="1:17" ht="15.75">
      <c r="A123" s="7"/>
      <c r="B123" s="68"/>
      <c r="C123" s="69"/>
      <c r="D123" s="69"/>
      <c r="E123" s="579"/>
      <c r="F123" s="69"/>
      <c r="G123" s="69"/>
      <c r="H123" s="7"/>
      <c r="I123" s="7"/>
      <c r="J123" s="7"/>
      <c r="K123" s="7"/>
      <c r="L123" s="7"/>
      <c r="M123" s="272"/>
      <c r="N123" s="63"/>
      <c r="O123" s="7"/>
      <c r="P123" s="7"/>
      <c r="Q123" s="72"/>
    </row>
    <row r="124" spans="1:17" ht="15.75">
      <c r="A124" s="38">
        <v>13</v>
      </c>
      <c r="B124" s="7" t="s">
        <v>553</v>
      </c>
      <c r="C124" s="7"/>
      <c r="D124" s="7"/>
      <c r="E124" s="591"/>
      <c r="F124" s="7"/>
      <c r="G124" s="7"/>
      <c r="H124" s="7"/>
      <c r="I124" s="7"/>
      <c r="J124" s="7"/>
      <c r="K124" s="7"/>
      <c r="L124" s="7"/>
      <c r="M124" s="7"/>
      <c r="N124" s="63"/>
      <c r="O124" s="7"/>
      <c r="P124" s="7"/>
      <c r="Q124" s="72"/>
    </row>
    <row r="125" spans="1:17" ht="15.75">
      <c r="A125" s="38"/>
      <c r="B125" s="7" t="s">
        <v>554</v>
      </c>
      <c r="C125" s="7"/>
      <c r="D125" s="7"/>
      <c r="E125" s="591"/>
      <c r="F125" s="7"/>
      <c r="G125" s="7"/>
      <c r="H125" s="7"/>
      <c r="I125" s="7"/>
      <c r="J125" s="7"/>
      <c r="K125" s="7"/>
      <c r="L125" s="7"/>
      <c r="M125" s="7"/>
      <c r="N125" s="63"/>
      <c r="O125" s="7"/>
      <c r="P125" s="7"/>
      <c r="Q125" s="72"/>
    </row>
    <row r="126" spans="1:17" ht="15.75">
      <c r="A126" s="38"/>
      <c r="B126" s="7" t="s">
        <v>555</v>
      </c>
      <c r="C126" s="7"/>
      <c r="D126" s="7"/>
      <c r="E126" s="591"/>
      <c r="F126" s="7"/>
      <c r="G126" s="7"/>
      <c r="H126" s="7"/>
      <c r="I126" s="7"/>
      <c r="J126" s="7"/>
      <c r="K126" s="7"/>
      <c r="L126" s="7"/>
      <c r="M126" s="7"/>
      <c r="N126" s="63"/>
      <c r="O126" s="7"/>
      <c r="P126" s="7"/>
      <c r="Q126" s="72"/>
    </row>
    <row r="127" spans="1:17" ht="15.75">
      <c r="A127" s="604"/>
      <c r="B127" s="604" t="s">
        <v>536</v>
      </c>
      <c r="C127" s="604"/>
      <c r="D127" s="1024">
        <v>1</v>
      </c>
      <c r="E127" s="1024"/>
      <c r="F127" s="604" t="s">
        <v>2</v>
      </c>
      <c r="G127" s="605">
        <v>4</v>
      </c>
      <c r="H127" s="606" t="s">
        <v>2</v>
      </c>
      <c r="I127" s="605">
        <v>7</v>
      </c>
      <c r="J127" s="604"/>
      <c r="K127" s="604"/>
      <c r="L127" s="604" t="s">
        <v>3</v>
      </c>
      <c r="M127" s="607">
        <f>D127*G127*I127</f>
        <v>28</v>
      </c>
      <c r="N127" s="608" t="s">
        <v>8</v>
      </c>
      <c r="O127" s="604"/>
      <c r="P127" s="604"/>
      <c r="Q127" s="609"/>
    </row>
    <row r="128" spans="1:17" ht="15.75">
      <c r="A128" s="604"/>
      <c r="B128" s="604"/>
      <c r="C128" s="604"/>
      <c r="D128" s="606"/>
      <c r="E128" s="606"/>
      <c r="F128" s="604"/>
      <c r="G128" s="605"/>
      <c r="H128" s="606"/>
      <c r="I128" s="605"/>
      <c r="J128" s="604"/>
      <c r="K128" s="604"/>
      <c r="L128" s="604"/>
      <c r="M128" s="607">
        <f>SUM(M127:M127)</f>
        <v>28</v>
      </c>
      <c r="N128" s="608"/>
      <c r="O128" s="604"/>
      <c r="P128" s="604"/>
      <c r="Q128" s="609"/>
    </row>
    <row r="129" spans="1:17" ht="15.75">
      <c r="A129" s="604"/>
      <c r="B129" s="610">
        <f>M127</f>
        <v>28</v>
      </c>
      <c r="C129" s="610"/>
      <c r="D129" s="610"/>
      <c r="E129" s="611" t="s">
        <v>8</v>
      </c>
      <c r="F129" s="612"/>
      <c r="G129" s="612"/>
      <c r="H129" s="604"/>
      <c r="I129" s="604"/>
      <c r="J129" s="604"/>
      <c r="K129" s="604"/>
      <c r="L129" s="604"/>
      <c r="M129" s="613" t="s">
        <v>213</v>
      </c>
      <c r="N129" s="608">
        <v>726.72</v>
      </c>
      <c r="O129" s="604" t="s">
        <v>556</v>
      </c>
      <c r="P129" s="604" t="s">
        <v>16</v>
      </c>
      <c r="Q129" s="609">
        <f>B129*N129</f>
        <v>20348.16</v>
      </c>
    </row>
    <row r="130" spans="1:17" ht="15.75">
      <c r="A130" s="7"/>
      <c r="B130" s="68"/>
      <c r="C130" s="68"/>
      <c r="D130" s="68"/>
      <c r="E130" s="579"/>
      <c r="F130" s="69"/>
      <c r="G130" s="69"/>
      <c r="H130" s="7"/>
      <c r="I130" s="7"/>
      <c r="J130" s="7"/>
      <c r="K130" s="7"/>
      <c r="L130" s="7"/>
      <c r="M130" s="272"/>
      <c r="N130" s="63"/>
      <c r="O130" s="7"/>
      <c r="P130" s="7"/>
      <c r="Q130" s="72"/>
    </row>
    <row r="131" spans="1:17" ht="15.75">
      <c r="A131" s="38">
        <v>14</v>
      </c>
      <c r="B131" s="7" t="s">
        <v>113</v>
      </c>
      <c r="C131" s="7"/>
      <c r="D131" s="7"/>
      <c r="E131" s="591"/>
      <c r="F131" s="7"/>
      <c r="G131" s="7"/>
      <c r="H131" s="7"/>
      <c r="I131" s="7"/>
      <c r="J131" s="7"/>
      <c r="K131" s="7"/>
      <c r="L131" s="7"/>
      <c r="M131" s="7"/>
      <c r="N131" s="63"/>
      <c r="O131" s="7"/>
      <c r="P131" s="7"/>
      <c r="Q131" s="72"/>
    </row>
    <row r="132" spans="1:17" ht="15.75">
      <c r="A132" s="38"/>
      <c r="B132" s="7" t="s">
        <v>114</v>
      </c>
      <c r="C132" s="7"/>
      <c r="D132" s="7"/>
      <c r="E132" s="591"/>
      <c r="F132" s="7"/>
      <c r="G132" s="7"/>
      <c r="H132" s="7"/>
      <c r="I132" s="7"/>
      <c r="J132" s="7"/>
      <c r="K132" s="7"/>
      <c r="L132" s="7"/>
      <c r="M132" s="7"/>
      <c r="N132" s="63"/>
      <c r="O132" s="7"/>
      <c r="P132" s="7"/>
      <c r="Q132" s="72"/>
    </row>
    <row r="133" spans="1:17" ht="15.75">
      <c r="A133" s="38"/>
      <c r="B133" s="7" t="s">
        <v>115</v>
      </c>
      <c r="C133" s="7"/>
      <c r="D133" s="7"/>
      <c r="E133" s="591"/>
      <c r="F133" s="7"/>
      <c r="G133" s="7"/>
      <c r="H133" s="7"/>
      <c r="I133" s="7"/>
      <c r="J133" s="7"/>
      <c r="K133" s="7"/>
      <c r="L133" s="7"/>
      <c r="M133" s="7"/>
      <c r="N133" s="63"/>
      <c r="O133" s="7"/>
      <c r="P133" s="7"/>
      <c r="Q133" s="72"/>
    </row>
    <row r="134" spans="1:17" ht="15.75">
      <c r="A134" s="7"/>
      <c r="B134" s="578" t="s">
        <v>557</v>
      </c>
      <c r="C134" s="7">
        <v>1</v>
      </c>
      <c r="D134" s="7" t="s">
        <v>2</v>
      </c>
      <c r="E134" s="591">
        <v>2</v>
      </c>
      <c r="F134" s="7"/>
      <c r="G134" s="238">
        <v>3</v>
      </c>
      <c r="H134" s="79" t="s">
        <v>2</v>
      </c>
      <c r="I134" s="238">
        <v>4</v>
      </c>
      <c r="J134" s="7" t="s">
        <v>2</v>
      </c>
      <c r="K134" s="41">
        <v>9.5</v>
      </c>
      <c r="L134" s="7" t="s">
        <v>31</v>
      </c>
      <c r="M134" s="65">
        <v>112</v>
      </c>
      <c r="N134" s="63" t="s">
        <v>21</v>
      </c>
      <c r="O134" s="41">
        <v>2.0299999999999998</v>
      </c>
      <c r="P134" s="7" t="s">
        <v>9</v>
      </c>
      <c r="Q134" s="72"/>
    </row>
    <row r="135" spans="1:17" ht="15.75">
      <c r="A135" s="7"/>
      <c r="B135" s="578"/>
      <c r="C135" s="7"/>
      <c r="D135" s="7"/>
      <c r="E135" s="591"/>
      <c r="F135" s="7"/>
      <c r="G135" s="591"/>
      <c r="H135" s="7"/>
      <c r="I135" s="591"/>
      <c r="J135" s="7"/>
      <c r="K135" s="41"/>
      <c r="L135" s="7"/>
      <c r="M135" s="65"/>
      <c r="N135" s="63"/>
      <c r="O135" s="41">
        <f>SUM(O134:O134)</f>
        <v>2.0299999999999998</v>
      </c>
      <c r="P135" s="7" t="s">
        <v>9</v>
      </c>
      <c r="Q135" s="72"/>
    </row>
    <row r="136" spans="1:17" ht="15.75">
      <c r="A136" s="7"/>
      <c r="B136" s="68">
        <f>O135</f>
        <v>2.0299999999999998</v>
      </c>
      <c r="C136" s="68"/>
      <c r="D136" s="68"/>
      <c r="E136" s="579" t="s">
        <v>9</v>
      </c>
      <c r="F136" s="69"/>
      <c r="G136" s="69"/>
      <c r="H136" s="7"/>
      <c r="I136" s="7"/>
      <c r="J136" s="7"/>
      <c r="K136" s="7"/>
      <c r="L136" s="7"/>
      <c r="M136" s="272" t="s">
        <v>17</v>
      </c>
      <c r="N136" s="63">
        <v>4928.49</v>
      </c>
      <c r="O136" s="7" t="s">
        <v>60</v>
      </c>
      <c r="P136" s="7" t="s">
        <v>16</v>
      </c>
      <c r="Q136" s="72">
        <f>B136*N136</f>
        <v>10004.834699999999</v>
      </c>
    </row>
    <row r="137" spans="1:17" ht="14.25" customHeight="1">
      <c r="A137" s="7"/>
      <c r="B137" s="7"/>
      <c r="C137" s="7"/>
      <c r="D137" s="7"/>
      <c r="E137" s="591"/>
      <c r="F137" s="7"/>
      <c r="G137" s="7"/>
      <c r="H137" s="7"/>
      <c r="I137" s="7"/>
      <c r="J137" s="7"/>
      <c r="K137" s="7"/>
      <c r="L137" s="7"/>
      <c r="M137" s="7"/>
      <c r="N137" s="63"/>
      <c r="O137" s="7"/>
      <c r="P137" s="7"/>
      <c r="Q137" s="72"/>
    </row>
    <row r="138" spans="1:17" ht="15.75">
      <c r="A138" s="7">
        <v>15</v>
      </c>
      <c r="B138" s="7" t="s">
        <v>116</v>
      </c>
      <c r="C138" s="7"/>
      <c r="D138" s="7"/>
      <c r="E138" s="591"/>
      <c r="F138" s="7"/>
      <c r="G138" s="7"/>
      <c r="H138" s="7"/>
      <c r="I138" s="7"/>
      <c r="J138" s="7"/>
      <c r="K138" s="7"/>
      <c r="L138" s="7"/>
      <c r="M138" s="7"/>
      <c r="N138" s="63"/>
      <c r="O138" s="7"/>
      <c r="P138" s="7"/>
      <c r="Q138" s="72"/>
    </row>
    <row r="139" spans="1:17" ht="15.75">
      <c r="A139" s="7"/>
      <c r="B139" s="7" t="s">
        <v>117</v>
      </c>
      <c r="C139" s="7"/>
      <c r="D139" s="7"/>
      <c r="E139" s="591"/>
      <c r="F139" s="7"/>
      <c r="G139" s="7"/>
      <c r="H139" s="7"/>
      <c r="I139" s="7"/>
      <c r="J139" s="7"/>
      <c r="K139" s="7"/>
      <c r="L139" s="7"/>
      <c r="M139" s="7"/>
      <c r="N139" s="63"/>
      <c r="O139" s="7"/>
      <c r="P139" s="7"/>
      <c r="Q139" s="72"/>
    </row>
    <row r="140" spans="1:17" ht="15.75">
      <c r="A140" s="7"/>
      <c r="B140" s="7" t="s">
        <v>118</v>
      </c>
      <c r="C140" s="7"/>
      <c r="D140" s="7"/>
      <c r="E140" s="591"/>
      <c r="F140" s="7"/>
      <c r="G140" s="7"/>
      <c r="H140" s="7"/>
      <c r="I140" s="591">
        <f>A131</f>
        <v>14</v>
      </c>
      <c r="J140" s="7"/>
      <c r="K140" s="7"/>
      <c r="L140" s="7"/>
      <c r="M140" s="66">
        <f>B136</f>
        <v>2.0299999999999998</v>
      </c>
      <c r="N140" s="67" t="s">
        <v>558</v>
      </c>
      <c r="O140" s="7"/>
      <c r="P140" s="7"/>
      <c r="Q140" s="72"/>
    </row>
    <row r="141" spans="1:17" ht="15.75">
      <c r="A141" s="7"/>
      <c r="B141" s="68">
        <f>M140</f>
        <v>2.0299999999999998</v>
      </c>
      <c r="C141" s="68"/>
      <c r="D141" s="68"/>
      <c r="E141" s="579" t="str">
        <f>N140</f>
        <v>Sft.</v>
      </c>
      <c r="F141" s="69"/>
      <c r="G141" s="69"/>
      <c r="H141" s="7"/>
      <c r="I141" s="7"/>
      <c r="J141" s="7"/>
      <c r="K141" s="7"/>
      <c r="L141" s="7"/>
      <c r="M141" s="272" t="str">
        <f>M136</f>
        <v xml:space="preserve"> @Rs:</v>
      </c>
      <c r="N141" s="63">
        <v>271.04000000000002</v>
      </c>
      <c r="O141" s="7" t="s">
        <v>60</v>
      </c>
      <c r="P141" s="7" t="s">
        <v>5</v>
      </c>
      <c r="Q141" s="72">
        <f>B141*N141</f>
        <v>550.21119999999996</v>
      </c>
    </row>
    <row r="142" spans="1:17" ht="11.25" customHeight="1">
      <c r="A142" s="7"/>
      <c r="B142" s="575"/>
      <c r="C142" s="575"/>
      <c r="D142" s="575"/>
      <c r="E142" s="579"/>
      <c r="F142" s="579"/>
      <c r="G142" s="579"/>
      <c r="H142" s="7"/>
      <c r="I142" s="7"/>
      <c r="J142" s="7"/>
      <c r="K142" s="7"/>
      <c r="L142" s="7"/>
      <c r="M142" s="272"/>
      <c r="N142" s="63"/>
      <c r="O142" s="7"/>
      <c r="P142" s="7"/>
      <c r="Q142" s="72"/>
    </row>
    <row r="143" spans="1:17" ht="15.75">
      <c r="A143" s="7">
        <v>16</v>
      </c>
      <c r="B143" s="7" t="s">
        <v>559</v>
      </c>
      <c r="C143" s="7"/>
      <c r="D143" s="7"/>
      <c r="E143" s="591"/>
      <c r="F143" s="7"/>
      <c r="G143" s="7"/>
      <c r="H143" s="7"/>
      <c r="I143" s="7"/>
      <c r="J143" s="7"/>
      <c r="K143" s="7"/>
      <c r="L143" s="7"/>
      <c r="M143" s="7"/>
      <c r="N143" s="63"/>
      <c r="O143" s="7"/>
      <c r="P143" s="7"/>
      <c r="Q143" s="72"/>
    </row>
    <row r="144" spans="1:17" ht="15.75">
      <c r="A144" s="7"/>
      <c r="B144" s="7" t="s">
        <v>560</v>
      </c>
      <c r="C144" s="7"/>
      <c r="D144" s="7"/>
      <c r="E144" s="591"/>
      <c r="F144" s="7"/>
      <c r="G144" s="7"/>
      <c r="H144" s="7"/>
      <c r="I144" s="7"/>
      <c r="J144" s="7"/>
      <c r="K144" s="7"/>
      <c r="L144" s="7"/>
      <c r="M144" s="7"/>
      <c r="N144" s="63"/>
      <c r="O144" s="7"/>
      <c r="P144" s="7"/>
      <c r="Q144" s="72"/>
    </row>
    <row r="145" spans="1:17" ht="15.75">
      <c r="A145" s="7"/>
      <c r="B145" s="7" t="s">
        <v>561</v>
      </c>
      <c r="C145" s="7"/>
      <c r="D145" s="7"/>
      <c r="E145" s="591"/>
      <c r="F145" s="7"/>
      <c r="G145" s="7"/>
      <c r="H145" s="7"/>
      <c r="I145" s="7"/>
      <c r="J145" s="7"/>
      <c r="K145" s="7"/>
      <c r="L145" s="7"/>
      <c r="M145" s="7"/>
      <c r="N145" s="63"/>
      <c r="O145" s="7"/>
      <c r="P145" s="7"/>
      <c r="Q145" s="72"/>
    </row>
    <row r="146" spans="1:17" ht="15.75">
      <c r="A146" s="7"/>
      <c r="B146" s="578" t="s">
        <v>557</v>
      </c>
      <c r="C146" s="7">
        <f>C134</f>
        <v>1</v>
      </c>
      <c r="D146" s="7" t="s">
        <v>2</v>
      </c>
      <c r="E146" s="591">
        <f>E134</f>
        <v>2</v>
      </c>
      <c r="F146" s="7" t="s">
        <v>2</v>
      </c>
      <c r="G146" s="238">
        <v>3</v>
      </c>
      <c r="H146" s="79" t="s">
        <v>2</v>
      </c>
      <c r="I146" s="238">
        <v>4</v>
      </c>
      <c r="J146" s="7"/>
      <c r="K146" s="7"/>
      <c r="L146" s="7"/>
      <c r="M146" s="65"/>
      <c r="N146" s="63" t="s">
        <v>21</v>
      </c>
      <c r="O146" s="41">
        <f>C146*E146*G146*I146</f>
        <v>24</v>
      </c>
      <c r="P146" s="7" t="s">
        <v>8</v>
      </c>
      <c r="Q146" s="72"/>
    </row>
    <row r="147" spans="1:17" ht="15.75">
      <c r="A147" s="7"/>
      <c r="B147" s="578"/>
      <c r="C147" s="7"/>
      <c r="D147" s="7"/>
      <c r="E147" s="591"/>
      <c r="F147" s="7"/>
      <c r="G147" s="591"/>
      <c r="H147" s="7"/>
      <c r="I147" s="591"/>
      <c r="J147" s="7"/>
      <c r="K147" s="7"/>
      <c r="L147" s="7"/>
      <c r="M147" s="65"/>
      <c r="N147" s="63"/>
      <c r="O147" s="41">
        <f>SUM(O146:O146)</f>
        <v>24</v>
      </c>
      <c r="P147" s="7" t="s">
        <v>8</v>
      </c>
      <c r="Q147" s="72"/>
    </row>
    <row r="148" spans="1:17" ht="15.75">
      <c r="A148" s="7"/>
      <c r="B148" s="68">
        <f>O147</f>
        <v>24</v>
      </c>
      <c r="C148" s="68"/>
      <c r="D148" s="68"/>
      <c r="E148" s="579" t="s">
        <v>8</v>
      </c>
      <c r="F148" s="69"/>
      <c r="G148" s="69"/>
      <c r="H148" s="7"/>
      <c r="I148" s="7"/>
      <c r="J148" s="7"/>
      <c r="K148" s="7"/>
      <c r="L148" s="7"/>
      <c r="M148" s="272" t="s">
        <v>17</v>
      </c>
      <c r="N148" s="576">
        <v>180.5</v>
      </c>
      <c r="O148" s="7" t="s">
        <v>556</v>
      </c>
      <c r="P148" s="7" t="s">
        <v>16</v>
      </c>
      <c r="Q148" s="72">
        <f>B148*N148</f>
        <v>4332</v>
      </c>
    </row>
    <row r="149" spans="1:17" ht="15.75">
      <c r="A149" s="7"/>
      <c r="B149" s="7"/>
      <c r="C149" s="7"/>
      <c r="D149" s="7"/>
      <c r="E149" s="591"/>
      <c r="F149" s="7"/>
      <c r="G149" s="7"/>
      <c r="H149" s="7"/>
      <c r="I149" s="7"/>
      <c r="J149" s="7"/>
      <c r="K149" s="7"/>
      <c r="L149" s="7"/>
      <c r="M149" s="70"/>
      <c r="N149" s="63"/>
      <c r="O149" s="7"/>
      <c r="P149" s="7"/>
      <c r="Q149" s="72"/>
    </row>
    <row r="150" spans="1:17" ht="15.75">
      <c r="A150" s="7">
        <v>17</v>
      </c>
      <c r="B150" s="32" t="s">
        <v>562</v>
      </c>
      <c r="C150" s="32"/>
      <c r="D150" s="32"/>
      <c r="E150" s="591"/>
      <c r="F150" s="7"/>
      <c r="G150" s="7"/>
      <c r="H150" s="7"/>
      <c r="I150" s="7"/>
      <c r="J150" s="7"/>
      <c r="K150" s="7"/>
      <c r="L150" s="7"/>
      <c r="M150" s="7"/>
      <c r="N150" s="63"/>
      <c r="O150" s="7"/>
      <c r="P150" s="7"/>
      <c r="Q150" s="72"/>
    </row>
    <row r="151" spans="1:17" ht="15.75">
      <c r="A151" s="7"/>
      <c r="B151" s="7" t="s">
        <v>563</v>
      </c>
      <c r="C151" s="7"/>
      <c r="D151" s="7"/>
      <c r="E151" s="591"/>
      <c r="F151" s="7"/>
      <c r="G151" s="7"/>
      <c r="H151" s="7"/>
      <c r="I151" s="7"/>
      <c r="J151" s="7"/>
      <c r="K151" s="7"/>
      <c r="L151" s="7"/>
      <c r="M151" s="7"/>
      <c r="N151" s="63"/>
      <c r="O151" s="7"/>
      <c r="P151" s="7"/>
      <c r="Q151" s="72"/>
    </row>
    <row r="152" spans="1:17" ht="15.75">
      <c r="A152" s="7"/>
      <c r="B152" s="7" t="s">
        <v>564</v>
      </c>
      <c r="C152" s="7"/>
      <c r="D152" s="7"/>
      <c r="E152" s="591"/>
      <c r="F152" s="7"/>
      <c r="G152" s="7"/>
      <c r="H152" s="7"/>
      <c r="I152" s="7"/>
      <c r="J152" s="7"/>
      <c r="K152" s="7"/>
      <c r="L152" s="7"/>
      <c r="M152" s="7"/>
      <c r="N152" s="63"/>
      <c r="O152" s="7"/>
      <c r="P152" s="7"/>
      <c r="Q152" s="72"/>
    </row>
    <row r="153" spans="1:17" ht="15.75">
      <c r="A153" s="7"/>
      <c r="B153" s="7" t="s">
        <v>536</v>
      </c>
      <c r="C153" s="7">
        <f>C73</f>
        <v>1</v>
      </c>
      <c r="D153" s="7" t="s">
        <v>2</v>
      </c>
      <c r="E153" s="591">
        <v>1</v>
      </c>
      <c r="F153" s="7" t="s">
        <v>2</v>
      </c>
      <c r="G153" s="577">
        <v>2</v>
      </c>
      <c r="H153" s="79" t="s">
        <v>2</v>
      </c>
      <c r="I153" s="238">
        <v>4</v>
      </c>
      <c r="J153" s="79" t="s">
        <v>2</v>
      </c>
      <c r="K153" s="238">
        <v>7</v>
      </c>
      <c r="L153" s="7" t="s">
        <v>21</v>
      </c>
      <c r="M153" s="601">
        <v>56</v>
      </c>
      <c r="N153" s="63" t="s">
        <v>8</v>
      </c>
      <c r="O153" s="7"/>
      <c r="P153" s="7"/>
      <c r="Q153" s="72"/>
    </row>
    <row r="154" spans="1:17" ht="15.75">
      <c r="A154" s="7"/>
      <c r="B154" s="7" t="s">
        <v>557</v>
      </c>
      <c r="C154" s="7">
        <f>C146</f>
        <v>1</v>
      </c>
      <c r="D154" s="7" t="s">
        <v>2</v>
      </c>
      <c r="E154" s="591">
        <f>C109</f>
        <v>2</v>
      </c>
      <c r="F154" s="7" t="s">
        <v>2</v>
      </c>
      <c r="G154" s="577">
        <v>2</v>
      </c>
      <c r="H154" s="79" t="s">
        <v>2</v>
      </c>
      <c r="I154" s="238">
        <v>3</v>
      </c>
      <c r="J154" s="79" t="s">
        <v>2</v>
      </c>
      <c r="K154" s="238">
        <v>4</v>
      </c>
      <c r="L154" s="7" t="s">
        <v>21</v>
      </c>
      <c r="M154" s="139">
        <v>48</v>
      </c>
      <c r="N154" s="63" t="s">
        <v>8</v>
      </c>
      <c r="O154" s="7"/>
      <c r="P154" s="7"/>
      <c r="Q154" s="72"/>
    </row>
    <row r="155" spans="1:17" ht="15.75">
      <c r="A155" s="7"/>
      <c r="B155" s="7"/>
      <c r="C155" s="7"/>
      <c r="D155" s="7"/>
      <c r="E155" s="591"/>
      <c r="F155" s="7"/>
      <c r="G155" s="7"/>
      <c r="H155" s="7"/>
      <c r="I155" s="7"/>
      <c r="J155" s="7"/>
      <c r="K155" s="7"/>
      <c r="L155" s="7"/>
      <c r="M155" s="7">
        <f>SUM(M153:M154)</f>
        <v>104</v>
      </c>
      <c r="N155" s="63" t="s">
        <v>8</v>
      </c>
      <c r="O155" s="7"/>
      <c r="P155" s="7"/>
      <c r="Q155" s="72"/>
    </row>
    <row r="156" spans="1:17" ht="15.75">
      <c r="A156" s="7"/>
      <c r="B156" s="69">
        <f>M155</f>
        <v>104</v>
      </c>
      <c r="C156" s="69"/>
      <c r="D156" s="69"/>
      <c r="E156" s="579" t="s">
        <v>8</v>
      </c>
      <c r="F156" s="69"/>
      <c r="G156" s="69"/>
      <c r="H156" s="7"/>
      <c r="I156" s="7"/>
      <c r="J156" s="7"/>
      <c r="K156" s="7"/>
      <c r="L156" s="7"/>
      <c r="M156" s="272" t="s">
        <v>17</v>
      </c>
      <c r="N156" s="63">
        <v>1489.68</v>
      </c>
      <c r="O156" s="7" t="s">
        <v>7</v>
      </c>
      <c r="P156" s="7" t="s">
        <v>16</v>
      </c>
      <c r="Q156" s="72">
        <f>B156*N156/100</f>
        <v>1549.2672</v>
      </c>
    </row>
    <row r="157" spans="1:17" ht="15.75">
      <c r="A157" s="7"/>
      <c r="B157" s="591"/>
      <c r="C157" s="591"/>
      <c r="D157" s="591"/>
      <c r="E157" s="591"/>
      <c r="F157" s="591"/>
      <c r="G157" s="591"/>
      <c r="H157" s="7"/>
      <c r="I157" s="7"/>
      <c r="J157" s="7"/>
      <c r="K157" s="7"/>
      <c r="L157" s="7"/>
      <c r="M157" s="41"/>
      <c r="N157" s="63"/>
      <c r="O157" s="7"/>
      <c r="P157" s="7"/>
      <c r="Q157" s="72"/>
    </row>
    <row r="158" spans="1:17" ht="15.75">
      <c r="A158" s="7">
        <v>18</v>
      </c>
      <c r="B158" s="7" t="s">
        <v>565</v>
      </c>
      <c r="C158" s="7"/>
      <c r="D158" s="7"/>
      <c r="E158" s="591"/>
      <c r="F158" s="7"/>
      <c r="G158" s="7"/>
      <c r="H158" s="7"/>
      <c r="I158" s="7"/>
      <c r="J158" s="7"/>
      <c r="K158" s="7"/>
      <c r="L158" s="7"/>
      <c r="M158" s="7"/>
      <c r="N158" s="63"/>
      <c r="O158" s="73"/>
      <c r="P158" s="73"/>
      <c r="Q158" s="82"/>
    </row>
    <row r="159" spans="1:17" ht="15.75">
      <c r="A159" s="7" t="s">
        <v>15</v>
      </c>
      <c r="B159" s="7" t="s">
        <v>566</v>
      </c>
      <c r="C159" s="7"/>
      <c r="D159" s="7"/>
      <c r="E159" s="591"/>
      <c r="F159" s="7"/>
      <c r="G159" s="7"/>
      <c r="H159" s="7"/>
      <c r="I159" s="7"/>
      <c r="J159" s="7"/>
      <c r="K159" s="7"/>
      <c r="L159" s="7"/>
      <c r="M159" s="7"/>
      <c r="N159" s="63"/>
      <c r="O159" s="7"/>
      <c r="P159" s="7"/>
      <c r="Q159" s="7"/>
    </row>
    <row r="160" spans="1:17" ht="15.75">
      <c r="A160" s="7"/>
      <c r="B160" s="20" t="s">
        <v>519</v>
      </c>
      <c r="C160" s="7"/>
      <c r="D160" s="7"/>
      <c r="E160" s="591"/>
      <c r="F160" s="7"/>
      <c r="G160" s="7"/>
      <c r="H160" s="7"/>
      <c r="I160" s="7"/>
      <c r="J160" s="7"/>
      <c r="K160" s="7"/>
      <c r="L160" s="7"/>
      <c r="M160" s="7"/>
      <c r="N160" s="63"/>
      <c r="O160" s="7"/>
      <c r="P160" s="7"/>
      <c r="Q160" s="7"/>
    </row>
    <row r="161" spans="1:17" ht="15.75">
      <c r="A161" s="7"/>
      <c r="B161" s="7"/>
      <c r="C161" s="7">
        <v>1</v>
      </c>
      <c r="D161" s="7" t="s">
        <v>2</v>
      </c>
      <c r="E161" s="578">
        <v>21.5</v>
      </c>
      <c r="F161" s="7" t="s">
        <v>2</v>
      </c>
      <c r="G161" s="41">
        <v>17.5</v>
      </c>
      <c r="H161" s="7"/>
      <c r="I161" s="79"/>
      <c r="J161" s="7"/>
      <c r="K161" s="7"/>
      <c r="L161" s="7"/>
      <c r="M161" s="140">
        <f>C161*E161*G161</f>
        <v>376.25</v>
      </c>
      <c r="N161" s="63" t="s">
        <v>8</v>
      </c>
      <c r="O161" s="7"/>
      <c r="P161" s="7"/>
      <c r="Q161" s="7"/>
    </row>
    <row r="162" spans="1:17" ht="15.75">
      <c r="A162" s="7"/>
      <c r="B162" s="7"/>
      <c r="C162" s="7"/>
      <c r="D162" s="7"/>
      <c r="E162" s="591"/>
      <c r="F162" s="7"/>
      <c r="G162" s="41"/>
      <c r="H162" s="7"/>
      <c r="I162" s="41"/>
      <c r="J162" s="7"/>
      <c r="K162" s="7"/>
      <c r="L162" s="7"/>
      <c r="M162" s="213">
        <f>SUM(M161:M161)</f>
        <v>376.25</v>
      </c>
      <c r="N162" s="63"/>
      <c r="O162" s="7"/>
      <c r="P162" s="7"/>
      <c r="Q162" s="7"/>
    </row>
    <row r="163" spans="1:17" ht="15.75">
      <c r="A163" s="7"/>
      <c r="B163" s="68">
        <f>M162</f>
        <v>376.25</v>
      </c>
      <c r="C163" s="69"/>
      <c r="D163" s="69"/>
      <c r="E163" s="579" t="s">
        <v>8</v>
      </c>
      <c r="F163" s="69"/>
      <c r="G163" s="69"/>
      <c r="H163" s="7"/>
      <c r="I163" s="7"/>
      <c r="J163" s="7"/>
      <c r="K163" s="7"/>
      <c r="L163" s="7"/>
      <c r="M163" s="143" t="s">
        <v>188</v>
      </c>
      <c r="N163" s="576">
        <v>8977.9</v>
      </c>
      <c r="O163" s="7" t="s">
        <v>7</v>
      </c>
      <c r="P163" s="601" t="s">
        <v>16</v>
      </c>
      <c r="Q163" s="142">
        <f>B163*N163/100</f>
        <v>33779.348749999997</v>
      </c>
    </row>
    <row r="164" spans="1:17">
      <c r="E164" s="570"/>
      <c r="M164" s="573"/>
      <c r="N164" s="13"/>
      <c r="Q164" s="28"/>
    </row>
    <row r="165" spans="1:17" ht="15.75">
      <c r="A165" s="80">
        <v>19</v>
      </c>
      <c r="B165" s="1025" t="s">
        <v>567</v>
      </c>
      <c r="C165" s="1025"/>
      <c r="D165" s="1025"/>
      <c r="E165" s="1025"/>
      <c r="F165" s="1025"/>
      <c r="G165" s="1025"/>
      <c r="H165" s="1025"/>
      <c r="I165" s="1025"/>
      <c r="J165" s="1025"/>
      <c r="K165" s="1025"/>
      <c r="L165" s="1025"/>
      <c r="M165" s="1025"/>
      <c r="N165" s="1025"/>
      <c r="O165" s="7"/>
      <c r="P165" s="7"/>
      <c r="Q165" s="72"/>
    </row>
    <row r="166" spans="1:17" ht="15.75">
      <c r="A166" s="7"/>
      <c r="B166" s="7" t="s">
        <v>546</v>
      </c>
      <c r="C166" s="7">
        <f>C161</f>
        <v>1</v>
      </c>
      <c r="D166" s="7" t="s">
        <v>2</v>
      </c>
      <c r="E166" s="591">
        <v>2</v>
      </c>
      <c r="F166" s="7" t="s">
        <v>2</v>
      </c>
      <c r="G166" s="79">
        <v>18</v>
      </c>
      <c r="H166" s="79" t="s">
        <v>2</v>
      </c>
      <c r="I166" s="140">
        <v>10.75</v>
      </c>
      <c r="J166" s="601"/>
      <c r="K166" s="140"/>
      <c r="L166" s="7"/>
      <c r="M166" s="615">
        <f>C166*E166*G166*I166</f>
        <v>387</v>
      </c>
      <c r="N166" s="63" t="s">
        <v>8</v>
      </c>
      <c r="O166" s="7"/>
      <c r="P166" s="7"/>
      <c r="Q166" s="72"/>
    </row>
    <row r="167" spans="1:17" ht="15.75">
      <c r="A167" s="7"/>
      <c r="B167" s="7"/>
      <c r="C167" s="7"/>
      <c r="D167" s="7"/>
      <c r="E167" s="591"/>
      <c r="F167" s="7"/>
      <c r="G167" s="79"/>
      <c r="H167" s="79"/>
      <c r="I167" s="1022"/>
      <c r="J167" s="1022"/>
      <c r="K167" s="1022"/>
      <c r="L167" s="7"/>
      <c r="M167" s="601"/>
      <c r="N167" s="63"/>
      <c r="O167" s="7"/>
      <c r="P167" s="7"/>
      <c r="Q167" s="72"/>
    </row>
    <row r="168" spans="1:17" ht="15.75">
      <c r="A168" s="7"/>
      <c r="B168" s="7" t="s">
        <v>546</v>
      </c>
      <c r="C168" s="7">
        <v>1</v>
      </c>
      <c r="D168" s="7" t="s">
        <v>2</v>
      </c>
      <c r="E168" s="591">
        <v>2</v>
      </c>
      <c r="F168" s="7" t="s">
        <v>2</v>
      </c>
      <c r="G168" s="79">
        <v>14</v>
      </c>
      <c r="H168" s="79" t="s">
        <v>2</v>
      </c>
      <c r="I168" s="140">
        <v>10.75</v>
      </c>
      <c r="J168" s="601"/>
      <c r="K168" s="140"/>
      <c r="L168" s="7"/>
      <c r="M168" s="615">
        <f>C168*E168*G168*I168</f>
        <v>301</v>
      </c>
      <c r="N168" s="63" t="s">
        <v>8</v>
      </c>
      <c r="O168" s="7"/>
      <c r="P168" s="7"/>
      <c r="Q168" s="72"/>
    </row>
    <row r="169" spans="1:17" ht="15.75">
      <c r="A169" s="7"/>
      <c r="B169" s="7"/>
      <c r="C169" s="7"/>
      <c r="D169" s="7"/>
      <c r="E169" s="577"/>
      <c r="F169" s="65"/>
      <c r="G169" s="65"/>
      <c r="H169" s="7"/>
      <c r="I169" s="1022"/>
      <c r="J169" s="1022"/>
      <c r="K169" s="1022"/>
      <c r="L169" s="7"/>
      <c r="M169" s="616"/>
      <c r="N169" s="63"/>
      <c r="O169" s="7"/>
      <c r="P169" s="7"/>
      <c r="Q169" s="72"/>
    </row>
    <row r="170" spans="1:17" ht="15.75">
      <c r="A170" s="7"/>
      <c r="B170" s="7" t="s">
        <v>568</v>
      </c>
      <c r="C170" s="7"/>
      <c r="D170" s="7"/>
      <c r="E170" s="577"/>
      <c r="F170" s="65"/>
      <c r="G170" s="65"/>
      <c r="H170" s="7"/>
      <c r="I170" s="580"/>
      <c r="J170" s="580"/>
      <c r="K170" s="580"/>
      <c r="L170" s="7"/>
      <c r="M170" s="213">
        <v>872.19</v>
      </c>
      <c r="N170" s="63"/>
      <c r="O170" s="7"/>
      <c r="P170" s="7"/>
      <c r="Q170" s="72"/>
    </row>
    <row r="171" spans="1:17" ht="15.75">
      <c r="A171" s="7"/>
      <c r="B171" s="7" t="s">
        <v>569</v>
      </c>
      <c r="C171" s="7"/>
      <c r="D171" s="7"/>
      <c r="E171" s="577">
        <v>18</v>
      </c>
      <c r="F171" s="65" t="s">
        <v>2</v>
      </c>
      <c r="G171" s="65">
        <v>14</v>
      </c>
      <c r="H171" s="7"/>
      <c r="I171" s="580"/>
      <c r="J171" s="580"/>
      <c r="K171" s="580"/>
      <c r="L171" s="7"/>
      <c r="M171" s="616">
        <f>E171*G171</f>
        <v>252</v>
      </c>
      <c r="N171" s="63"/>
      <c r="O171" s="7"/>
      <c r="P171" s="7"/>
      <c r="Q171" s="72"/>
    </row>
    <row r="172" spans="1:17" ht="15.75">
      <c r="A172" s="7"/>
      <c r="B172" s="7"/>
      <c r="C172" s="7"/>
      <c r="D172" s="7"/>
      <c r="E172" s="577"/>
      <c r="F172" s="65"/>
      <c r="G172" s="65"/>
      <c r="H172" s="7"/>
      <c r="I172" s="580"/>
      <c r="J172" s="580"/>
      <c r="K172" s="580"/>
      <c r="L172" s="7"/>
      <c r="M172" s="213">
        <f>SUM(M170:M171)</f>
        <v>1124.19</v>
      </c>
      <c r="N172" s="63"/>
      <c r="O172" s="7"/>
      <c r="P172" s="7"/>
      <c r="Q172" s="72"/>
    </row>
    <row r="173" spans="1:17" ht="15.75">
      <c r="A173" s="7"/>
      <c r="B173" s="20" t="s">
        <v>33</v>
      </c>
      <c r="C173" s="560" t="s">
        <v>570</v>
      </c>
      <c r="D173" s="75"/>
      <c r="E173" s="591"/>
      <c r="F173" s="7"/>
      <c r="G173" s="7"/>
      <c r="H173" s="7"/>
      <c r="I173" s="7"/>
      <c r="J173" s="7"/>
      <c r="K173" s="7"/>
      <c r="L173" s="7" t="s">
        <v>30</v>
      </c>
      <c r="M173" s="578">
        <v>35.25</v>
      </c>
      <c r="N173" s="63"/>
      <c r="O173" s="7"/>
      <c r="P173" s="7"/>
      <c r="Q173" s="72"/>
    </row>
    <row r="174" spans="1:17" ht="15.75">
      <c r="A174" s="7"/>
      <c r="B174" s="20"/>
      <c r="C174" s="560"/>
      <c r="D174" s="75"/>
      <c r="E174" s="591"/>
      <c r="F174" s="7"/>
      <c r="G174" s="7"/>
      <c r="H174" s="7"/>
      <c r="I174" s="7"/>
      <c r="J174" s="7"/>
      <c r="K174" s="7"/>
      <c r="L174" s="7"/>
      <c r="M174" s="578">
        <f>M172-M173</f>
        <v>1088.94</v>
      </c>
      <c r="N174" s="63"/>
      <c r="O174" s="7"/>
      <c r="P174" s="7"/>
      <c r="Q174" s="72"/>
    </row>
    <row r="175" spans="1:17" ht="15.75">
      <c r="A175" s="7"/>
      <c r="B175" s="614">
        <f>M174</f>
        <v>1088.94</v>
      </c>
      <c r="C175" s="69"/>
      <c r="D175" s="69" t="s">
        <v>187</v>
      </c>
      <c r="E175" s="579"/>
      <c r="F175" s="69"/>
      <c r="G175" s="69"/>
      <c r="H175" s="7"/>
      <c r="I175" s="7"/>
      <c r="J175" s="7"/>
      <c r="K175" s="7"/>
      <c r="L175" s="7"/>
      <c r="M175" s="143" t="s">
        <v>213</v>
      </c>
      <c r="N175" s="63">
        <v>442.75</v>
      </c>
      <c r="O175" s="7" t="s">
        <v>571</v>
      </c>
      <c r="P175" s="7" t="s">
        <v>16</v>
      </c>
      <c r="Q175" s="72">
        <v>4820</v>
      </c>
    </row>
    <row r="176" spans="1:17" ht="15.75">
      <c r="A176" s="204">
        <v>20</v>
      </c>
      <c r="B176" s="1025" t="s">
        <v>572</v>
      </c>
      <c r="C176" s="1025"/>
      <c r="D176" s="1025"/>
      <c r="E176" s="1025"/>
      <c r="F176" s="1025"/>
      <c r="G176" s="1025"/>
      <c r="H176" s="1025"/>
      <c r="I176" s="1025"/>
      <c r="J176" s="1025"/>
      <c r="K176" s="1025"/>
      <c r="L176" s="1025"/>
      <c r="M176" s="1025"/>
      <c r="N176" s="1025"/>
      <c r="O176" s="7"/>
      <c r="P176" s="7"/>
      <c r="Q176" s="7"/>
    </row>
    <row r="177" spans="1:17" ht="15.75">
      <c r="A177" s="204"/>
      <c r="B177" s="1025" t="s">
        <v>573</v>
      </c>
      <c r="C177" s="1025"/>
      <c r="D177" s="1025"/>
      <c r="E177" s="1025"/>
      <c r="F177" s="1025"/>
      <c r="G177" s="1025"/>
      <c r="H177" s="1025"/>
      <c r="I177" s="1025"/>
      <c r="J177" s="1025"/>
      <c r="K177" s="1025"/>
      <c r="L177" s="1025"/>
      <c r="M177" s="617">
        <f>M174</f>
        <v>1088.94</v>
      </c>
      <c r="N177" s="618"/>
      <c r="O177" s="7"/>
      <c r="P177" s="7"/>
      <c r="Q177" s="7"/>
    </row>
    <row r="178" spans="1:17" ht="15.75">
      <c r="A178" s="7"/>
      <c r="B178" s="614">
        <f>M177</f>
        <v>1088.94</v>
      </c>
      <c r="C178" s="69"/>
      <c r="D178" s="69" t="s">
        <v>187</v>
      </c>
      <c r="E178" s="579"/>
      <c r="F178" s="69"/>
      <c r="G178" s="69"/>
      <c r="H178" s="7"/>
      <c r="I178" s="7"/>
      <c r="J178" s="7"/>
      <c r="K178" s="7"/>
      <c r="L178" s="7"/>
      <c r="M178" s="272" t="str">
        <f>M175</f>
        <v>@Rs</v>
      </c>
      <c r="N178" s="576">
        <v>1043.9000000000001</v>
      </c>
      <c r="O178" s="7" t="s">
        <v>571</v>
      </c>
      <c r="P178" s="7" t="s">
        <v>16</v>
      </c>
      <c r="Q178" s="72">
        <f>B178*N178/100</f>
        <v>11367.444660000003</v>
      </c>
    </row>
    <row r="179" spans="1:17" ht="15.75">
      <c r="A179" s="7"/>
      <c r="B179" s="7"/>
      <c r="C179" s="7"/>
      <c r="D179" s="7"/>
      <c r="E179" s="591"/>
      <c r="F179" s="7"/>
      <c r="G179" s="7"/>
      <c r="H179" s="7"/>
      <c r="I179" s="7"/>
      <c r="J179" s="7"/>
      <c r="K179" s="7"/>
      <c r="L179" s="7"/>
      <c r="M179" s="73"/>
      <c r="N179" s="63"/>
      <c r="O179" s="7"/>
      <c r="P179" s="139"/>
      <c r="Q179" s="139"/>
    </row>
    <row r="180" spans="1:17" ht="15.75">
      <c r="A180" s="7"/>
      <c r="B180" s="69"/>
      <c r="C180" s="69"/>
      <c r="D180" s="69"/>
      <c r="E180" s="579"/>
      <c r="F180" s="69"/>
      <c r="G180" s="69"/>
      <c r="H180" s="7"/>
      <c r="I180" s="7"/>
      <c r="J180" s="7"/>
      <c r="K180" s="7"/>
      <c r="L180" s="7"/>
      <c r="M180" s="143"/>
      <c r="N180" s="576" t="s">
        <v>183</v>
      </c>
      <c r="O180" s="7"/>
      <c r="P180" s="7" t="s">
        <v>16</v>
      </c>
      <c r="Q180" s="142">
        <f>SUM(Q11:Q179)</f>
        <v>367172.16982532002</v>
      </c>
    </row>
    <row r="181" spans="1:17" ht="15.75">
      <c r="A181" s="7"/>
      <c r="B181" s="69"/>
      <c r="C181" s="69"/>
      <c r="D181" s="69"/>
      <c r="E181" s="579"/>
      <c r="F181" s="69"/>
      <c r="G181" s="69"/>
      <c r="H181" s="7"/>
      <c r="I181" s="7"/>
      <c r="J181" s="7"/>
      <c r="K181" s="7"/>
      <c r="L181" s="7"/>
      <c r="M181" s="143"/>
      <c r="N181" s="576"/>
      <c r="O181" s="7"/>
      <c r="P181" s="7"/>
      <c r="Q181" s="142"/>
    </row>
    <row r="182" spans="1:17">
      <c r="A182" s="648"/>
      <c r="I182" t="s">
        <v>516</v>
      </c>
      <c r="O182" s="649"/>
      <c r="P182" t="s">
        <v>5</v>
      </c>
      <c r="Q182" s="649">
        <f>Q180*33.7/100</f>
        <v>123737.02123113285</v>
      </c>
    </row>
    <row r="183" spans="1:17">
      <c r="A183" s="648"/>
      <c r="P183" s="274"/>
      <c r="Q183" s="274"/>
    </row>
    <row r="184" spans="1:17">
      <c r="A184" s="654"/>
      <c r="B184">
        <v>1</v>
      </c>
      <c r="C184" s="6" t="s">
        <v>607</v>
      </c>
      <c r="J184">
        <v>1</v>
      </c>
      <c r="K184" s="6" t="s">
        <v>610</v>
      </c>
      <c r="P184" s="18"/>
      <c r="Q184" s="18"/>
    </row>
    <row r="185" spans="1:17" ht="15.75">
      <c r="A185" s="654"/>
      <c r="B185">
        <v>2</v>
      </c>
      <c r="C185" s="6" t="s">
        <v>608</v>
      </c>
      <c r="J185">
        <v>1</v>
      </c>
      <c r="K185" s="6" t="s">
        <v>610</v>
      </c>
      <c r="N185" s="658" t="s">
        <v>183</v>
      </c>
      <c r="O185" s="7"/>
      <c r="P185" s="7" t="s">
        <v>16</v>
      </c>
      <c r="Q185" s="142">
        <f>SUM(Q180:Q184)</f>
        <v>490909.19105645287</v>
      </c>
    </row>
    <row r="186" spans="1:17">
      <c r="A186" s="654"/>
      <c r="B186">
        <v>3</v>
      </c>
      <c r="C186" s="6" t="s">
        <v>609</v>
      </c>
      <c r="J186">
        <v>1</v>
      </c>
      <c r="K186" s="6" t="s">
        <v>610</v>
      </c>
      <c r="P186" s="18"/>
      <c r="Q186" s="18"/>
    </row>
    <row r="187" spans="1:17">
      <c r="A187" s="654"/>
      <c r="J187">
        <f>SUM(J184:J186)</f>
        <v>3</v>
      </c>
      <c r="K187" s="6" t="s">
        <v>182</v>
      </c>
      <c r="P187" s="18"/>
      <c r="Q187" s="18"/>
    </row>
    <row r="188" spans="1:17" ht="15.75">
      <c r="A188" s="648"/>
      <c r="N188" s="650"/>
      <c r="O188" s="7"/>
      <c r="P188" s="7"/>
      <c r="Q188" s="142"/>
    </row>
    <row r="189" spans="1:17" ht="15.75">
      <c r="A189" s="648"/>
      <c r="G189" t="s">
        <v>574</v>
      </c>
      <c r="J189" t="s">
        <v>21</v>
      </c>
      <c r="K189" s="941">
        <f>Q185</f>
        <v>490909.19105645287</v>
      </c>
      <c r="L189" s="913"/>
      <c r="M189" t="s">
        <v>2</v>
      </c>
      <c r="N189" s="72">
        <v>3</v>
      </c>
      <c r="O189" s="7" t="s">
        <v>21</v>
      </c>
      <c r="P189" s="7" t="s">
        <v>5</v>
      </c>
      <c r="Q189" s="142">
        <f>K189*N189</f>
        <v>1472727.5731693585</v>
      </c>
    </row>
    <row r="190" spans="1:17" ht="15.75">
      <c r="A190" s="648"/>
      <c r="N190" s="650"/>
      <c r="O190" s="7"/>
      <c r="P190" s="7"/>
      <c r="Q190" s="142"/>
    </row>
    <row r="191" spans="1:17" ht="15.75">
      <c r="A191" s="648"/>
      <c r="N191" s="650"/>
      <c r="O191" s="7"/>
      <c r="P191" s="7"/>
      <c r="Q191" s="142"/>
    </row>
    <row r="192" spans="1:17">
      <c r="A192" s="648"/>
    </row>
    <row r="193" spans="1:15">
      <c r="A193" s="648"/>
    </row>
    <row r="194" spans="1:15">
      <c r="A194" s="648"/>
    </row>
    <row r="195" spans="1:15" s="73" customFormat="1" ht="15.75">
      <c r="A195" s="651"/>
      <c r="B195" s="920" t="s">
        <v>369</v>
      </c>
      <c r="C195" s="920"/>
      <c r="D195" s="920"/>
      <c r="E195" s="920"/>
      <c r="F195" s="920"/>
      <c r="G195" s="920"/>
      <c r="H195" s="920"/>
      <c r="I195" s="920"/>
      <c r="J195" s="920"/>
      <c r="L195" s="920" t="s">
        <v>333</v>
      </c>
      <c r="M195" s="920"/>
      <c r="N195" s="920"/>
      <c r="O195" s="920"/>
    </row>
    <row r="196" spans="1:15" s="7" customFormat="1" ht="15.75">
      <c r="A196" s="652"/>
      <c r="B196" s="942" t="s">
        <v>334</v>
      </c>
      <c r="C196" s="942"/>
      <c r="D196" s="942"/>
      <c r="E196" s="942"/>
      <c r="F196" s="942"/>
      <c r="G196" s="942"/>
      <c r="H196" s="942"/>
      <c r="I196" s="942"/>
      <c r="J196" s="942"/>
      <c r="L196" s="942" t="s">
        <v>370</v>
      </c>
      <c r="M196" s="942"/>
      <c r="N196" s="942"/>
      <c r="O196" s="942"/>
    </row>
    <row r="197" spans="1:15" s="7" customFormat="1" ht="15.75">
      <c r="A197" s="652"/>
      <c r="B197" s="942" t="s">
        <v>236</v>
      </c>
      <c r="C197" s="942"/>
      <c r="D197" s="942"/>
      <c r="E197" s="942"/>
      <c r="F197" s="942"/>
      <c r="G197" s="942"/>
      <c r="H197" s="942"/>
      <c r="I197" s="942"/>
      <c r="J197" s="942"/>
      <c r="L197" s="942" t="s">
        <v>236</v>
      </c>
      <c r="M197" s="942"/>
      <c r="N197" s="942"/>
      <c r="O197" s="942"/>
    </row>
  </sheetData>
  <mergeCells count="28">
    <mergeCell ref="K189:L189"/>
    <mergeCell ref="D127:E127"/>
    <mergeCell ref="B165:N165"/>
    <mergeCell ref="I167:K167"/>
    <mergeCell ref="I169:K169"/>
    <mergeCell ref="B176:N176"/>
    <mergeCell ref="B177:L177"/>
    <mergeCell ref="G195:J195"/>
    <mergeCell ref="L195:O195"/>
    <mergeCell ref="B196:F196"/>
    <mergeCell ref="G196:J196"/>
    <mergeCell ref="L196:O196"/>
    <mergeCell ref="B197:F197"/>
    <mergeCell ref="G197:J197"/>
    <mergeCell ref="L197:O197"/>
    <mergeCell ref="I115:K115"/>
    <mergeCell ref="A1:Q2"/>
    <mergeCell ref="B52:M52"/>
    <mergeCell ref="E78:G78"/>
    <mergeCell ref="I78:J78"/>
    <mergeCell ref="D84:E84"/>
    <mergeCell ref="D90:E90"/>
    <mergeCell ref="I96:K96"/>
    <mergeCell ref="I100:K100"/>
    <mergeCell ref="I105:K105"/>
    <mergeCell ref="E111:G111"/>
    <mergeCell ref="I111:K111"/>
    <mergeCell ref="B195:F195"/>
  </mergeCells>
  <pageMargins left="0.7" right="0.32" top="0.28999999999999998" bottom="0.3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rgb="FFFF0000"/>
  </sheetPr>
  <dimension ref="A1:AF85"/>
  <sheetViews>
    <sheetView topLeftCell="A77" workbookViewId="0">
      <selection sqref="A1:Q91"/>
    </sheetView>
  </sheetViews>
  <sheetFormatPr defaultRowHeight="15.75"/>
  <cols>
    <col min="1" max="1" width="4" style="7" customWidth="1"/>
    <col min="2" max="2" width="10.140625" style="7" customWidth="1"/>
    <col min="3" max="3" width="3" style="7" customWidth="1"/>
    <col min="4" max="4" width="2.5703125" style="7" customWidth="1"/>
    <col min="5" max="5" width="7.28515625" style="591" customWidth="1"/>
    <col min="6" max="6" width="2.28515625" style="7" customWidth="1"/>
    <col min="7" max="7" width="6.85546875" style="7" customWidth="1"/>
    <col min="8" max="8" width="3" style="7" customWidth="1"/>
    <col min="9" max="9" width="6.42578125" style="7" customWidth="1"/>
    <col min="10" max="10" width="2.42578125" style="7" customWidth="1"/>
    <col min="11" max="11" width="6.28515625" style="7" customWidth="1"/>
    <col min="12" max="12" width="3.42578125" style="7" customWidth="1"/>
    <col min="13" max="13" width="9.85546875" style="7" customWidth="1"/>
    <col min="14" max="14" width="9.7109375" style="7" customWidth="1"/>
    <col min="15" max="15" width="7.140625" style="7" customWidth="1"/>
    <col min="16" max="16" width="3.28515625" style="7" customWidth="1"/>
    <col min="17" max="17" width="10" style="7" customWidth="1"/>
    <col min="18" max="18" width="7.140625" style="7" hidden="1" customWidth="1"/>
    <col min="19" max="19" width="11" style="7" customWidth="1"/>
    <col min="20" max="20" width="7.42578125" style="7" customWidth="1"/>
    <col min="21" max="21" width="3.28515625" style="7" customWidth="1"/>
    <col min="22" max="22" width="6.140625" style="7" customWidth="1"/>
    <col min="23" max="23" width="2.5703125" style="7" customWidth="1"/>
    <col min="24" max="24" width="6.7109375" style="7" customWidth="1"/>
    <col min="25" max="25" width="3.7109375" style="7" customWidth="1"/>
    <col min="26" max="26" width="7.5703125" style="7" customWidth="1"/>
    <col min="27" max="36" width="9.140625" style="7" customWidth="1"/>
    <col min="37" max="16384" width="9.140625" style="7"/>
  </cols>
  <sheetData>
    <row r="1" spans="1:32" ht="12" customHeight="1">
      <c r="A1" s="924" t="s">
        <v>611</v>
      </c>
      <c r="B1" s="924"/>
      <c r="C1" s="924"/>
      <c r="D1" s="924"/>
      <c r="E1" s="924"/>
      <c r="F1" s="924"/>
      <c r="G1" s="924"/>
      <c r="H1" s="924"/>
      <c r="I1" s="924"/>
      <c r="J1" s="924"/>
      <c r="K1" s="924"/>
      <c r="L1" s="924"/>
      <c r="M1" s="924"/>
      <c r="N1" s="924"/>
      <c r="O1" s="924"/>
      <c r="P1" s="924"/>
      <c r="Q1" s="924"/>
    </row>
    <row r="2" spans="1:32">
      <c r="A2" s="924"/>
      <c r="B2" s="924"/>
      <c r="C2" s="924"/>
      <c r="D2" s="924"/>
      <c r="E2" s="924"/>
      <c r="F2" s="924"/>
      <c r="G2" s="924"/>
      <c r="H2" s="924"/>
      <c r="I2" s="924"/>
      <c r="J2" s="924"/>
      <c r="K2" s="924"/>
      <c r="L2" s="924"/>
      <c r="M2" s="924"/>
      <c r="N2" s="924"/>
      <c r="O2" s="924"/>
      <c r="P2" s="924"/>
      <c r="Q2" s="924"/>
    </row>
    <row r="3" spans="1:32">
      <c r="A3" s="7">
        <v>1</v>
      </c>
      <c r="B3" s="7" t="s">
        <v>95</v>
      </c>
      <c r="Q3" s="65"/>
    </row>
    <row r="4" spans="1:32">
      <c r="B4" s="7" t="s">
        <v>96</v>
      </c>
      <c r="Q4" s="65"/>
    </row>
    <row r="5" spans="1:32">
      <c r="B5" s="7" t="s">
        <v>97</v>
      </c>
      <c r="Q5" s="65"/>
    </row>
    <row r="6" spans="1:32">
      <c r="B6" s="20"/>
      <c r="Q6" s="65"/>
      <c r="S6" s="73"/>
      <c r="V6" s="591"/>
    </row>
    <row r="7" spans="1:32">
      <c r="C7" s="7">
        <v>1</v>
      </c>
      <c r="D7" s="7" t="s">
        <v>2</v>
      </c>
      <c r="E7" s="578">
        <v>10.5</v>
      </c>
      <c r="F7" s="7" t="s">
        <v>2</v>
      </c>
      <c r="G7" s="41">
        <v>7.5</v>
      </c>
      <c r="H7" s="7" t="s">
        <v>2</v>
      </c>
      <c r="I7" s="238">
        <v>8</v>
      </c>
      <c r="K7" s="238"/>
      <c r="L7" s="7" t="s">
        <v>3</v>
      </c>
      <c r="M7" s="41">
        <f>C7*E7*G7*I7</f>
        <v>630</v>
      </c>
      <c r="N7" s="63" t="s">
        <v>18</v>
      </c>
      <c r="Q7" s="65" t="s">
        <v>15</v>
      </c>
      <c r="R7" s="7" t="s">
        <v>15</v>
      </c>
      <c r="S7" s="73"/>
      <c r="V7" s="591"/>
    </row>
    <row r="8" spans="1:32">
      <c r="G8" s="591"/>
      <c r="I8" s="578"/>
      <c r="K8" s="578"/>
      <c r="M8" s="213">
        <f>SUM(M7:M7)</f>
        <v>630</v>
      </c>
      <c r="N8" s="63" t="s">
        <v>18</v>
      </c>
      <c r="Q8" s="65"/>
    </row>
    <row r="9" spans="1:32">
      <c r="B9" s="68">
        <f>M8</f>
        <v>630</v>
      </c>
      <c r="C9" s="68"/>
      <c r="D9" s="68"/>
      <c r="E9" s="579" t="s">
        <v>167</v>
      </c>
      <c r="F9" s="69"/>
      <c r="G9" s="69"/>
      <c r="M9" s="70" t="s">
        <v>17</v>
      </c>
      <c r="N9" s="576">
        <v>3176.25</v>
      </c>
      <c r="O9" s="7" t="s">
        <v>86</v>
      </c>
      <c r="P9" s="7" t="s">
        <v>16</v>
      </c>
      <c r="Q9" s="72">
        <f>B9*N9/1000</f>
        <v>2001.0374999999999</v>
      </c>
    </row>
    <row r="10" spans="1:32">
      <c r="M10" s="73"/>
      <c r="N10" s="63"/>
      <c r="Q10" s="72"/>
    </row>
    <row r="11" spans="1:32">
      <c r="A11" s="7">
        <v>2</v>
      </c>
      <c r="B11" s="7" t="s">
        <v>218</v>
      </c>
      <c r="F11" s="591"/>
      <c r="G11" s="591"/>
      <c r="M11" s="81"/>
      <c r="N11" s="63"/>
      <c r="Q11" s="72"/>
    </row>
    <row r="12" spans="1:32">
      <c r="C12" s="7">
        <v>1</v>
      </c>
      <c r="D12" s="7" t="s">
        <v>2</v>
      </c>
      <c r="E12" s="578">
        <v>10.5</v>
      </c>
      <c r="F12" s="7" t="s">
        <v>2</v>
      </c>
      <c r="G12" s="41">
        <v>7.5</v>
      </c>
      <c r="H12" s="7" t="s">
        <v>2</v>
      </c>
      <c r="I12" s="238">
        <v>3</v>
      </c>
      <c r="K12" s="238"/>
      <c r="L12" s="7" t="s">
        <v>3</v>
      </c>
      <c r="M12" s="41">
        <f>C12*E12*G12*I12</f>
        <v>236.25</v>
      </c>
      <c r="N12" s="63" t="s">
        <v>18</v>
      </c>
      <c r="Q12" s="72"/>
    </row>
    <row r="13" spans="1:32">
      <c r="B13" s="68">
        <f>M12</f>
        <v>236.25</v>
      </c>
      <c r="C13" s="69"/>
      <c r="D13" s="69"/>
      <c r="E13" s="579" t="s">
        <v>167</v>
      </c>
      <c r="F13" s="69"/>
      <c r="G13" s="69"/>
      <c r="M13" s="272" t="str">
        <f>M9</f>
        <v xml:space="preserve"> @Rs:</v>
      </c>
      <c r="N13" s="63">
        <v>1058.75</v>
      </c>
      <c r="O13" s="7" t="s">
        <v>219</v>
      </c>
      <c r="P13" s="7" t="s">
        <v>16</v>
      </c>
      <c r="Q13" s="72">
        <f>B13*N13/1000</f>
        <v>250.12968749999999</v>
      </c>
      <c r="AF13" s="7">
        <v>8263</v>
      </c>
    </row>
    <row r="14" spans="1:32">
      <c r="A14" s="7">
        <v>3</v>
      </c>
      <c r="B14" s="7" t="s">
        <v>100</v>
      </c>
      <c r="N14" s="63"/>
      <c r="Q14" s="72"/>
    </row>
    <row r="15" spans="1:32">
      <c r="B15" s="7" t="s">
        <v>101</v>
      </c>
      <c r="N15" s="63"/>
      <c r="Q15" s="72"/>
    </row>
    <row r="16" spans="1:32">
      <c r="B16" s="20"/>
      <c r="N16" s="63"/>
      <c r="Q16" s="72"/>
    </row>
    <row r="17" spans="1:19">
      <c r="C17" s="7">
        <v>1</v>
      </c>
      <c r="D17" s="7" t="s">
        <v>2</v>
      </c>
      <c r="E17" s="578">
        <v>10.5</v>
      </c>
      <c r="F17" s="7" t="s">
        <v>2</v>
      </c>
      <c r="G17" s="41">
        <v>7.5</v>
      </c>
      <c r="H17" s="7" t="s">
        <v>2</v>
      </c>
      <c r="I17" s="659">
        <v>0.75</v>
      </c>
      <c r="K17" s="238"/>
      <c r="L17" s="7" t="s">
        <v>3</v>
      </c>
      <c r="M17" s="41">
        <f>C17*E17*G17*I17</f>
        <v>59.0625</v>
      </c>
      <c r="N17" s="63" t="s">
        <v>18</v>
      </c>
      <c r="Q17" s="72"/>
    </row>
    <row r="18" spans="1:19">
      <c r="M18" s="66">
        <f>SUM(M17:M17)</f>
        <v>59.0625</v>
      </c>
      <c r="N18" s="67" t="s">
        <v>18</v>
      </c>
      <c r="Q18" s="72"/>
    </row>
    <row r="19" spans="1:19">
      <c r="B19" s="68">
        <f>M18</f>
        <v>59.0625</v>
      </c>
      <c r="C19" s="68"/>
      <c r="D19" s="68"/>
      <c r="E19" s="579" t="str">
        <f>N18</f>
        <v>Cft.</v>
      </c>
      <c r="F19" s="69"/>
      <c r="G19" s="69"/>
      <c r="M19" s="272" t="str">
        <f>M9</f>
        <v xml:space="preserve"> @Rs:</v>
      </c>
      <c r="N19" s="576">
        <v>9416.2800000000007</v>
      </c>
      <c r="O19" s="7" t="s">
        <v>12</v>
      </c>
      <c r="P19" s="7" t="s">
        <v>16</v>
      </c>
      <c r="Q19" s="72">
        <f>B19*N19/100</f>
        <v>5561.4903750000012</v>
      </c>
    </row>
    <row r="20" spans="1:19">
      <c r="B20" s="68"/>
      <c r="C20" s="68"/>
      <c r="D20" s="68"/>
      <c r="E20" s="579"/>
      <c r="F20" s="69"/>
      <c r="G20" s="69"/>
      <c r="M20" s="143"/>
      <c r="N20" s="576"/>
      <c r="Q20" s="72"/>
    </row>
    <row r="21" spans="1:19">
      <c r="A21" s="7">
        <v>4</v>
      </c>
      <c r="B21" s="7" t="s">
        <v>13</v>
      </c>
      <c r="N21" s="63"/>
      <c r="Q21" s="72"/>
    </row>
    <row r="22" spans="1:19">
      <c r="B22" s="21" t="s">
        <v>104</v>
      </c>
      <c r="C22" s="21"/>
      <c r="D22" s="21"/>
      <c r="F22" s="21"/>
      <c r="G22" s="21"/>
      <c r="H22" s="21"/>
      <c r="I22" s="21"/>
      <c r="J22" s="21"/>
      <c r="N22" s="63"/>
      <c r="Q22" s="72"/>
    </row>
    <row r="23" spans="1:19">
      <c r="B23" s="21" t="s">
        <v>105</v>
      </c>
      <c r="C23" s="21"/>
      <c r="D23" s="21"/>
      <c r="F23" s="21"/>
      <c r="G23" s="21"/>
      <c r="H23" s="21"/>
      <c r="I23" s="21"/>
      <c r="J23" s="21"/>
      <c r="N23" s="63"/>
      <c r="Q23" s="72"/>
    </row>
    <row r="24" spans="1:19">
      <c r="B24" s="7" t="s">
        <v>106</v>
      </c>
      <c r="N24" s="63"/>
      <c r="Q24" s="72"/>
    </row>
    <row r="25" spans="1:19">
      <c r="B25" s="7" t="s">
        <v>107</v>
      </c>
      <c r="N25" s="63"/>
      <c r="Q25" s="72"/>
    </row>
    <row r="26" spans="1:19">
      <c r="B26" s="7" t="s">
        <v>108</v>
      </c>
      <c r="N26" s="63"/>
      <c r="Q26" s="72"/>
    </row>
    <row r="27" spans="1:19">
      <c r="B27" s="7" t="s">
        <v>109</v>
      </c>
      <c r="N27" s="63"/>
      <c r="Q27" s="72"/>
    </row>
    <row r="28" spans="1:19">
      <c r="B28" s="20"/>
      <c r="G28" s="41"/>
      <c r="H28" s="41"/>
      <c r="I28" s="41"/>
      <c r="J28" s="41"/>
      <c r="K28" s="41"/>
      <c r="M28" s="41"/>
      <c r="N28" s="63"/>
      <c r="Q28" s="72"/>
    </row>
    <row r="29" spans="1:19">
      <c r="B29" s="7" t="s">
        <v>220</v>
      </c>
      <c r="C29" s="7">
        <v>1</v>
      </c>
      <c r="D29" s="7" t="s">
        <v>2</v>
      </c>
      <c r="E29" s="578">
        <v>9.5</v>
      </c>
      <c r="F29" s="7" t="s">
        <v>2</v>
      </c>
      <c r="G29" s="41">
        <v>6.5</v>
      </c>
      <c r="H29" s="7" t="s">
        <v>2</v>
      </c>
      <c r="I29" s="578">
        <v>0.75</v>
      </c>
      <c r="K29" s="238"/>
      <c r="L29" s="7" t="s">
        <v>3</v>
      </c>
      <c r="M29" s="41">
        <f>C29*E29*G29*I29</f>
        <v>46.3125</v>
      </c>
      <c r="N29" s="63" t="s">
        <v>18</v>
      </c>
      <c r="Q29" s="72"/>
    </row>
    <row r="30" spans="1:19">
      <c r="B30" s="68" t="s">
        <v>186</v>
      </c>
      <c r="C30" s="7">
        <v>2</v>
      </c>
      <c r="D30" s="7" t="s">
        <v>2</v>
      </c>
      <c r="E30" s="63" t="s">
        <v>221</v>
      </c>
      <c r="F30" s="7" t="s">
        <v>135</v>
      </c>
      <c r="G30" s="41" t="s">
        <v>222</v>
      </c>
      <c r="H30" s="41" t="s">
        <v>2</v>
      </c>
      <c r="I30" s="41">
        <v>0.75</v>
      </c>
      <c r="J30" s="41" t="s">
        <v>2</v>
      </c>
      <c r="K30" s="41">
        <v>9</v>
      </c>
      <c r="L30" s="7" t="s">
        <v>3</v>
      </c>
      <c r="M30" s="140">
        <v>195.75</v>
      </c>
      <c r="N30" s="63" t="s">
        <v>6</v>
      </c>
      <c r="Q30" s="72"/>
      <c r="S30" s="41"/>
    </row>
    <row r="31" spans="1:19">
      <c r="B31" s="68"/>
      <c r="C31" s="7">
        <v>1</v>
      </c>
      <c r="D31" s="7" t="s">
        <v>2</v>
      </c>
      <c r="E31" s="591">
        <v>5</v>
      </c>
      <c r="F31" s="7" t="s">
        <v>2</v>
      </c>
      <c r="G31" s="41">
        <v>3</v>
      </c>
      <c r="H31" s="41" t="s">
        <v>2</v>
      </c>
      <c r="I31" s="41">
        <v>0.33</v>
      </c>
      <c r="J31" s="41"/>
      <c r="K31" s="41"/>
      <c r="L31" s="7" t="s">
        <v>3</v>
      </c>
      <c r="M31" s="140">
        <f>C31*E31*G31*I31</f>
        <v>4.95</v>
      </c>
      <c r="N31" s="63" t="s">
        <v>6</v>
      </c>
      <c r="Q31" s="72"/>
    </row>
    <row r="32" spans="1:19">
      <c r="B32" s="203"/>
      <c r="C32" s="68"/>
      <c r="D32" s="68"/>
      <c r="E32" s="579"/>
      <c r="F32" s="69"/>
      <c r="G32" s="69"/>
      <c r="M32" s="272">
        <f>SUM(M29:M31)</f>
        <v>247.01249999999999</v>
      </c>
      <c r="N32" s="658" t="s">
        <v>167</v>
      </c>
      <c r="Q32" s="72"/>
    </row>
    <row r="33" spans="1:32">
      <c r="B33" s="7" t="s">
        <v>33</v>
      </c>
      <c r="C33" s="68"/>
      <c r="D33" s="68"/>
      <c r="E33" s="579"/>
      <c r="F33" s="69"/>
      <c r="G33" s="69"/>
      <c r="M33" s="272"/>
      <c r="N33" s="576"/>
      <c r="Q33" s="72"/>
    </row>
    <row r="34" spans="1:32">
      <c r="B34" s="68"/>
      <c r="C34" s="7">
        <v>1</v>
      </c>
      <c r="D34" s="7" t="s">
        <v>2</v>
      </c>
      <c r="E34" s="578">
        <v>2</v>
      </c>
      <c r="F34" s="7" t="s">
        <v>2</v>
      </c>
      <c r="G34" s="41">
        <v>2</v>
      </c>
      <c r="H34" s="41" t="s">
        <v>2</v>
      </c>
      <c r="I34" s="41">
        <v>0.33</v>
      </c>
      <c r="J34" s="41"/>
      <c r="K34" s="41"/>
      <c r="L34" s="7" t="s">
        <v>30</v>
      </c>
      <c r="M34" s="234">
        <f>C34*E34*G34*I34</f>
        <v>1.32</v>
      </c>
      <c r="N34" s="63" t="s">
        <v>6</v>
      </c>
      <c r="Q34" s="72"/>
    </row>
    <row r="35" spans="1:32">
      <c r="B35" s="68"/>
      <c r="E35" s="578"/>
      <c r="G35" s="41"/>
      <c r="H35" s="41"/>
      <c r="I35" s="41"/>
      <c r="J35" s="41"/>
      <c r="K35" s="41"/>
      <c r="M35" s="213">
        <v>245.68</v>
      </c>
      <c r="N35" s="63"/>
      <c r="Q35" s="72"/>
    </row>
    <row r="36" spans="1:32">
      <c r="B36" s="68">
        <f>M35</f>
        <v>245.68</v>
      </c>
      <c r="C36" s="68"/>
      <c r="D36" s="68"/>
      <c r="E36" s="579" t="s">
        <v>6</v>
      </c>
      <c r="F36" s="69"/>
      <c r="G36" s="69"/>
      <c r="M36" s="143" t="s">
        <v>223</v>
      </c>
      <c r="N36" s="581">
        <v>337</v>
      </c>
      <c r="O36" s="7" t="s">
        <v>48</v>
      </c>
      <c r="P36" s="7" t="s">
        <v>16</v>
      </c>
      <c r="Q36" s="72">
        <f>B36*N36</f>
        <v>82794.16</v>
      </c>
    </row>
    <row r="37" spans="1:32">
      <c r="B37" s="575"/>
      <c r="C37" s="575"/>
      <c r="D37" s="575"/>
      <c r="E37" s="579"/>
      <c r="F37" s="579"/>
      <c r="G37" s="579"/>
      <c r="M37" s="272"/>
      <c r="N37" s="63"/>
      <c r="Q37" s="72"/>
    </row>
    <row r="38" spans="1:32">
      <c r="A38" s="38">
        <v>5</v>
      </c>
      <c r="B38" s="7" t="s">
        <v>110</v>
      </c>
      <c r="N38" s="63"/>
      <c r="Q38" s="72"/>
    </row>
    <row r="39" spans="1:32">
      <c r="A39" s="38"/>
      <c r="B39" s="7" t="s">
        <v>111</v>
      </c>
      <c r="N39" s="63"/>
      <c r="Q39" s="72"/>
    </row>
    <row r="40" spans="1:32">
      <c r="A40" s="38"/>
      <c r="B40" s="7" t="s">
        <v>112</v>
      </c>
      <c r="N40" s="63"/>
      <c r="Q40" s="72"/>
    </row>
    <row r="41" spans="1:32">
      <c r="B41" s="578">
        <f>M35</f>
        <v>245.68</v>
      </c>
      <c r="C41" s="578"/>
      <c r="D41" s="578"/>
      <c r="E41" s="591" t="s">
        <v>2</v>
      </c>
      <c r="G41" s="41">
        <v>4.5</v>
      </c>
      <c r="H41" s="7" t="s">
        <v>31</v>
      </c>
      <c r="I41" s="7">
        <v>112</v>
      </c>
      <c r="L41" s="7" t="s">
        <v>3</v>
      </c>
      <c r="M41" s="41">
        <f>(B41*G41)/I41</f>
        <v>9.8710714285714278</v>
      </c>
      <c r="N41" s="63" t="s">
        <v>9</v>
      </c>
      <c r="Q41" s="72"/>
    </row>
    <row r="42" spans="1:32">
      <c r="B42" s="68">
        <f>M41</f>
        <v>9.8710714285714278</v>
      </c>
      <c r="C42" s="68"/>
      <c r="D42" s="68"/>
      <c r="E42" s="579" t="s">
        <v>9</v>
      </c>
      <c r="F42" s="69"/>
      <c r="G42" s="69"/>
      <c r="M42" s="272" t="str">
        <f>M36</f>
        <v>@RS</v>
      </c>
      <c r="N42" s="576">
        <v>5001.7</v>
      </c>
      <c r="O42" s="7" t="s">
        <v>60</v>
      </c>
      <c r="P42" s="7" t="s">
        <v>16</v>
      </c>
      <c r="Q42" s="72">
        <v>49367</v>
      </c>
      <c r="AF42" s="7">
        <v>21457</v>
      </c>
    </row>
    <row r="43" spans="1:32">
      <c r="B43" s="578"/>
      <c r="C43" s="578"/>
      <c r="D43" s="578"/>
      <c r="F43" s="591"/>
      <c r="G43" s="591"/>
      <c r="M43" s="272"/>
      <c r="N43" s="63"/>
      <c r="Q43" s="72"/>
    </row>
    <row r="44" spans="1:32">
      <c r="B44" s="659"/>
      <c r="C44" s="659"/>
      <c r="D44" s="659"/>
      <c r="E44" s="665"/>
      <c r="F44" s="665"/>
      <c r="G44" s="665"/>
      <c r="M44" s="272"/>
      <c r="N44" s="63"/>
      <c r="Q44" s="72"/>
    </row>
    <row r="45" spans="1:32">
      <c r="B45" s="659"/>
      <c r="C45" s="659"/>
      <c r="D45" s="659"/>
      <c r="E45" s="665"/>
      <c r="F45" s="665"/>
      <c r="G45" s="665"/>
      <c r="M45" s="272"/>
      <c r="N45" s="63"/>
      <c r="Q45" s="72"/>
    </row>
    <row r="46" spans="1:32">
      <c r="B46" s="659"/>
      <c r="C46" s="659"/>
      <c r="D46" s="659"/>
      <c r="E46" s="665"/>
      <c r="F46" s="665"/>
      <c r="G46" s="665"/>
      <c r="M46" s="272"/>
      <c r="N46" s="63"/>
      <c r="Q46" s="72"/>
    </row>
    <row r="47" spans="1:32" customFormat="1">
      <c r="A47" s="570">
        <v>6</v>
      </c>
      <c r="B47" s="21" t="s">
        <v>74</v>
      </c>
      <c r="C47" s="570"/>
      <c r="D47" s="570"/>
      <c r="E47" s="570"/>
      <c r="F47" s="570"/>
      <c r="G47" s="570"/>
      <c r="H47" s="570"/>
      <c r="I47" s="570"/>
      <c r="J47" s="570"/>
      <c r="K47" s="570"/>
      <c r="L47" s="570"/>
      <c r="N47" s="573"/>
      <c r="O47" s="574"/>
      <c r="P47" s="19"/>
      <c r="Q47" s="571"/>
      <c r="R47" s="574"/>
    </row>
    <row r="48" spans="1:32" customFormat="1">
      <c r="A48" s="570"/>
      <c r="B48" s="21" t="s">
        <v>75</v>
      </c>
      <c r="C48" s="570"/>
      <c r="D48" s="570"/>
      <c r="E48" s="570"/>
      <c r="F48" s="570"/>
      <c r="G48" s="570"/>
      <c r="H48" s="570"/>
      <c r="I48" s="570"/>
      <c r="J48" s="570"/>
      <c r="K48" s="570"/>
      <c r="L48" s="570"/>
      <c r="N48" s="573"/>
      <c r="O48" s="574"/>
      <c r="P48" s="19"/>
      <c r="Q48" s="571"/>
      <c r="R48" s="574"/>
    </row>
    <row r="49" spans="1:32" customFormat="1">
      <c r="A49" s="570"/>
      <c r="B49" s="21" t="s">
        <v>126</v>
      </c>
      <c r="C49" s="570"/>
      <c r="D49" s="570"/>
      <c r="E49" s="570"/>
      <c r="F49" s="570"/>
      <c r="G49" s="570"/>
      <c r="H49" s="570"/>
      <c r="I49" s="570"/>
      <c r="J49" s="570"/>
      <c r="K49" s="570"/>
      <c r="L49" s="570"/>
      <c r="N49" s="573"/>
      <c r="O49" s="574"/>
      <c r="P49" s="19"/>
      <c r="Q49" s="571"/>
      <c r="R49" s="574"/>
    </row>
    <row r="50" spans="1:32" customFormat="1">
      <c r="A50" s="570"/>
      <c r="B50" s="7"/>
      <c r="C50" s="570">
        <v>2</v>
      </c>
      <c r="D50" s="589" t="s">
        <v>2</v>
      </c>
      <c r="E50" s="230" t="s">
        <v>224</v>
      </c>
      <c r="F50" s="589" t="s">
        <v>135</v>
      </c>
      <c r="G50" s="589" t="s">
        <v>225</v>
      </c>
      <c r="H50" s="570"/>
      <c r="I50" s="572"/>
      <c r="J50" s="570" t="s">
        <v>15</v>
      </c>
      <c r="K50" s="570" t="s">
        <v>15</v>
      </c>
      <c r="L50" s="570" t="s">
        <v>15</v>
      </c>
      <c r="M50" t="s">
        <v>3</v>
      </c>
      <c r="N50" s="662">
        <v>29</v>
      </c>
      <c r="O50" s="574" t="s">
        <v>69</v>
      </c>
      <c r="P50" s="19"/>
      <c r="Q50" s="571"/>
      <c r="R50" s="574"/>
    </row>
    <row r="51" spans="1:32">
      <c r="B51" s="68">
        <f>N50</f>
        <v>29</v>
      </c>
      <c r="C51" s="68"/>
      <c r="D51" s="68"/>
      <c r="E51" s="579" t="s">
        <v>9</v>
      </c>
      <c r="F51" s="69"/>
      <c r="G51" s="69"/>
      <c r="M51" s="272" t="str">
        <f>M42</f>
        <v>@RS</v>
      </c>
      <c r="N51" s="576">
        <v>86</v>
      </c>
      <c r="O51" s="7" t="s">
        <v>70</v>
      </c>
      <c r="P51" s="7" t="s">
        <v>16</v>
      </c>
      <c r="Q51" s="72">
        <f>B51*N51</f>
        <v>2494</v>
      </c>
      <c r="AF51" s="7">
        <v>21457</v>
      </c>
    </row>
    <row r="52" spans="1:32">
      <c r="B52" s="68"/>
      <c r="C52" s="68"/>
      <c r="D52" s="68"/>
      <c r="E52" s="579"/>
      <c r="F52" s="69"/>
      <c r="G52" s="69"/>
      <c r="M52" s="272"/>
      <c r="N52" s="63"/>
      <c r="Q52" s="72"/>
    </row>
    <row r="53" spans="1:32">
      <c r="A53" s="38">
        <v>7</v>
      </c>
      <c r="B53" s="7" t="s">
        <v>113</v>
      </c>
      <c r="N53" s="63"/>
      <c r="Q53" s="72"/>
    </row>
    <row r="54" spans="1:32">
      <c r="A54" s="38"/>
      <c r="B54" s="7" t="s">
        <v>114</v>
      </c>
      <c r="N54" s="63"/>
      <c r="Q54" s="72"/>
    </row>
    <row r="55" spans="1:32">
      <c r="A55" s="38"/>
      <c r="B55" s="7" t="s">
        <v>115</v>
      </c>
      <c r="N55" s="63"/>
      <c r="Q55" s="72"/>
    </row>
    <row r="56" spans="1:32">
      <c r="B56" s="236" t="s">
        <v>212</v>
      </c>
      <c r="C56" s="7">
        <v>1</v>
      </c>
      <c r="D56" s="7" t="s">
        <v>2</v>
      </c>
      <c r="E56" s="578">
        <v>3.5</v>
      </c>
      <c r="G56" s="238">
        <v>6</v>
      </c>
      <c r="H56" s="79"/>
      <c r="I56" s="238"/>
      <c r="J56" s="7" t="s">
        <v>21</v>
      </c>
      <c r="K56" s="41">
        <f>C56*E56*G56</f>
        <v>21</v>
      </c>
      <c r="L56" s="205"/>
      <c r="M56" s="65"/>
      <c r="N56" s="63"/>
      <c r="O56" s="79"/>
      <c r="Q56" s="72"/>
    </row>
    <row r="57" spans="1:32">
      <c r="B57" s="578"/>
      <c r="C57" s="939" t="s">
        <v>226</v>
      </c>
      <c r="D57" s="939"/>
      <c r="E57" s="939"/>
      <c r="F57" s="939"/>
      <c r="G57" s="939"/>
      <c r="I57" s="591"/>
      <c r="K57" s="41"/>
      <c r="M57" s="65"/>
      <c r="N57" s="63"/>
      <c r="O57" s="41">
        <f>21*5*2.2/112</f>
        <v>2.0625000000000004</v>
      </c>
      <c r="P57" s="7" t="s">
        <v>9</v>
      </c>
      <c r="Q57" s="72"/>
    </row>
    <row r="58" spans="1:32">
      <c r="B58" s="578"/>
      <c r="C58" s="940">
        <v>112</v>
      </c>
      <c r="D58" s="940"/>
      <c r="E58" s="940"/>
      <c r="F58" s="940"/>
      <c r="G58" s="940"/>
      <c r="I58" s="591"/>
      <c r="K58" s="41"/>
      <c r="M58" s="65"/>
      <c r="N58" s="63"/>
      <c r="O58" s="79"/>
      <c r="Q58" s="72"/>
    </row>
    <row r="59" spans="1:32">
      <c r="B59" s="68">
        <f>O57</f>
        <v>2.0625000000000004</v>
      </c>
      <c r="C59" s="68"/>
      <c r="D59" s="68"/>
      <c r="E59" s="579" t="s">
        <v>9</v>
      </c>
      <c r="F59" s="69"/>
      <c r="G59" s="69"/>
      <c r="M59" s="272" t="s">
        <v>17</v>
      </c>
      <c r="N59" s="63">
        <v>4928.49</v>
      </c>
      <c r="O59" s="7" t="s">
        <v>60</v>
      </c>
      <c r="P59" s="7" t="s">
        <v>16</v>
      </c>
      <c r="Q59" s="72">
        <v>10153</v>
      </c>
      <c r="AF59" s="7">
        <v>15032</v>
      </c>
    </row>
    <row r="60" spans="1:32">
      <c r="N60" s="63"/>
      <c r="Q60" s="72"/>
    </row>
    <row r="61" spans="1:32">
      <c r="A61" s="7">
        <v>8</v>
      </c>
      <c r="B61" s="7" t="s">
        <v>116</v>
      </c>
      <c r="N61" s="63"/>
      <c r="Q61" s="72"/>
    </row>
    <row r="62" spans="1:32">
      <c r="B62" s="7" t="s">
        <v>117</v>
      </c>
      <c r="N62" s="63"/>
      <c r="Q62" s="72"/>
    </row>
    <row r="63" spans="1:32">
      <c r="B63" s="7" t="s">
        <v>118</v>
      </c>
      <c r="I63" s="591">
        <f>A53</f>
        <v>7</v>
      </c>
      <c r="M63" s="66">
        <v>1.47</v>
      </c>
      <c r="N63" s="67" t="s">
        <v>184</v>
      </c>
      <c r="Q63" s="72"/>
    </row>
    <row r="64" spans="1:32">
      <c r="B64" s="68">
        <f>M63</f>
        <v>1.47</v>
      </c>
      <c r="C64" s="68"/>
      <c r="D64" s="68"/>
      <c r="E64" s="579" t="str">
        <f>N63</f>
        <v>cwt</v>
      </c>
      <c r="F64" s="69"/>
      <c r="G64" s="69"/>
      <c r="M64" s="272" t="str">
        <f>M59</f>
        <v xml:space="preserve"> @Rs:</v>
      </c>
      <c r="N64" s="63">
        <v>271.04000000000002</v>
      </c>
      <c r="O64" s="7" t="s">
        <v>60</v>
      </c>
      <c r="P64" s="7" t="s">
        <v>5</v>
      </c>
      <c r="Q64" s="72">
        <f>B64*N64</f>
        <v>398.42880000000002</v>
      </c>
      <c r="AF64" s="7">
        <v>827</v>
      </c>
    </row>
    <row r="65" spans="1:32">
      <c r="B65" s="575"/>
      <c r="C65" s="575"/>
      <c r="D65" s="575"/>
      <c r="E65" s="579"/>
      <c r="F65" s="579"/>
      <c r="G65" s="579"/>
      <c r="M65" s="272"/>
      <c r="N65" s="63"/>
      <c r="Q65" s="72"/>
    </row>
    <row r="66" spans="1:32">
      <c r="A66" s="7">
        <v>9</v>
      </c>
      <c r="B66" s="7" t="s">
        <v>227</v>
      </c>
      <c r="E66" s="41"/>
      <c r="F66" s="41"/>
      <c r="G66" s="41"/>
      <c r="H66" s="41"/>
      <c r="I66" s="41"/>
      <c r="J66" s="41"/>
      <c r="K66" s="41"/>
      <c r="L66" s="576"/>
      <c r="O66" s="72"/>
    </row>
    <row r="67" spans="1:32">
      <c r="B67" s="7" t="s">
        <v>102</v>
      </c>
      <c r="E67" s="41"/>
      <c r="F67" s="41"/>
      <c r="G67" s="41"/>
      <c r="H67" s="41"/>
      <c r="I67" s="41"/>
      <c r="J67" s="41"/>
      <c r="K67" s="41"/>
      <c r="L67" s="576"/>
      <c r="O67" s="72"/>
    </row>
    <row r="68" spans="1:32">
      <c r="B68" s="7" t="s">
        <v>228</v>
      </c>
      <c r="C68" s="7">
        <v>1</v>
      </c>
      <c r="D68" s="7" t="s">
        <v>2</v>
      </c>
      <c r="E68" s="41">
        <v>5</v>
      </c>
      <c r="F68" s="41" t="s">
        <v>2</v>
      </c>
      <c r="G68" s="41">
        <v>1.1299999999999999</v>
      </c>
      <c r="H68" s="41" t="s">
        <v>2</v>
      </c>
      <c r="I68" s="41">
        <v>0.75</v>
      </c>
      <c r="J68" s="41" t="s">
        <v>3</v>
      </c>
      <c r="K68" s="41">
        <f t="shared" ref="K68:K69" si="0">I68*G68*E68*C68</f>
        <v>4.2374999999999998</v>
      </c>
      <c r="L68" s="576" t="s">
        <v>18</v>
      </c>
      <c r="O68" s="65" t="s">
        <v>15</v>
      </c>
      <c r="P68" s="7" t="s">
        <v>15</v>
      </c>
      <c r="Q68" s="7" t="s">
        <v>15</v>
      </c>
    </row>
    <row r="69" spans="1:32">
      <c r="B69" s="7" t="s">
        <v>229</v>
      </c>
      <c r="C69" s="7">
        <v>2</v>
      </c>
      <c r="D69" s="7" t="s">
        <v>2</v>
      </c>
      <c r="E69" s="41">
        <v>0.75</v>
      </c>
      <c r="F69" s="41" t="s">
        <v>2</v>
      </c>
      <c r="G69" s="41">
        <v>0.75</v>
      </c>
      <c r="H69" s="41" t="s">
        <v>2</v>
      </c>
      <c r="I69" s="41">
        <v>8</v>
      </c>
      <c r="J69" s="41" t="s">
        <v>3</v>
      </c>
      <c r="K69" s="41">
        <f t="shared" si="0"/>
        <v>9</v>
      </c>
      <c r="L69" s="576" t="s">
        <v>18</v>
      </c>
      <c r="O69" s="65"/>
    </row>
    <row r="70" spans="1:32">
      <c r="E70" s="41"/>
      <c r="F70" s="41"/>
      <c r="G70" s="41"/>
      <c r="H70" s="41"/>
      <c r="I70" s="41"/>
      <c r="J70" s="41" t="s">
        <v>3</v>
      </c>
      <c r="K70" s="41">
        <f>SUM(K68:K69)</f>
        <v>13.237500000000001</v>
      </c>
      <c r="L70" s="576" t="s">
        <v>18</v>
      </c>
      <c r="O70" s="65"/>
    </row>
    <row r="71" spans="1:32">
      <c r="B71" s="68">
        <v>13.23</v>
      </c>
      <c r="C71" s="68"/>
      <c r="D71" s="68"/>
      <c r="E71" s="579" t="s">
        <v>167</v>
      </c>
      <c r="F71" s="69"/>
      <c r="G71" s="69"/>
      <c r="M71" s="143" t="s">
        <v>213</v>
      </c>
      <c r="N71" s="63">
        <v>11948.36</v>
      </c>
      <c r="O71" s="7" t="s">
        <v>230</v>
      </c>
      <c r="P71" s="7" t="s">
        <v>5</v>
      </c>
      <c r="Q71" s="72">
        <f>B71*N71/100</f>
        <v>1580.768028</v>
      </c>
      <c r="AF71" s="7">
        <v>827</v>
      </c>
    </row>
    <row r="72" spans="1:32">
      <c r="A72" s="7">
        <v>10</v>
      </c>
      <c r="B72" s="7" t="s">
        <v>231</v>
      </c>
      <c r="N72" s="63"/>
      <c r="Q72" s="72"/>
    </row>
    <row r="73" spans="1:32">
      <c r="B73" s="7" t="s">
        <v>228</v>
      </c>
      <c r="C73" s="7">
        <v>1</v>
      </c>
      <c r="D73" s="7" t="s">
        <v>2</v>
      </c>
      <c r="E73" s="41">
        <v>5</v>
      </c>
      <c r="F73" s="41" t="s">
        <v>2</v>
      </c>
      <c r="G73" s="41">
        <v>2.63</v>
      </c>
      <c r="H73" s="41"/>
      <c r="I73" s="41"/>
      <c r="J73" s="41" t="s">
        <v>3</v>
      </c>
      <c r="K73" s="41">
        <f>C73*E73*G73</f>
        <v>13.149999999999999</v>
      </c>
      <c r="L73" s="576" t="s">
        <v>18</v>
      </c>
      <c r="O73" s="65" t="s">
        <v>15</v>
      </c>
      <c r="P73" s="7" t="s">
        <v>15</v>
      </c>
      <c r="Q73" s="7" t="s">
        <v>15</v>
      </c>
    </row>
    <row r="74" spans="1:32">
      <c r="B74" s="7" t="s">
        <v>229</v>
      </c>
      <c r="C74" s="7">
        <v>2</v>
      </c>
      <c r="D74" s="7" t="s">
        <v>2</v>
      </c>
      <c r="E74" s="41">
        <v>8</v>
      </c>
      <c r="F74" s="41" t="s">
        <v>2</v>
      </c>
      <c r="G74" s="41">
        <v>2.25</v>
      </c>
      <c r="H74" s="41"/>
      <c r="I74" s="41"/>
      <c r="J74" s="41" t="s">
        <v>3</v>
      </c>
      <c r="K74" s="41">
        <f>C74*E74*G74</f>
        <v>36</v>
      </c>
      <c r="L74" s="576" t="s">
        <v>18</v>
      </c>
      <c r="O74" s="65"/>
    </row>
    <row r="75" spans="1:32">
      <c r="E75" s="41"/>
      <c r="F75" s="41"/>
      <c r="G75" s="41"/>
      <c r="H75" s="41"/>
      <c r="I75" s="41"/>
      <c r="J75" s="41" t="s">
        <v>3</v>
      </c>
      <c r="K75" s="66">
        <f>SUM(K73:K74)</f>
        <v>49.15</v>
      </c>
      <c r="L75" s="576" t="s">
        <v>18</v>
      </c>
      <c r="O75" s="65"/>
    </row>
    <row r="76" spans="1:32">
      <c r="B76" s="575">
        <f>K75</f>
        <v>49.15</v>
      </c>
      <c r="C76" s="68" t="s">
        <v>187</v>
      </c>
      <c r="D76" s="68"/>
      <c r="E76" s="579"/>
      <c r="F76" s="69"/>
      <c r="G76" s="69"/>
      <c r="M76" s="143" t="s">
        <v>213</v>
      </c>
      <c r="N76" s="63">
        <v>2283.9299999999998</v>
      </c>
      <c r="O76" s="7" t="s">
        <v>232</v>
      </c>
      <c r="P76" s="7" t="s">
        <v>5</v>
      </c>
      <c r="Q76" s="248">
        <f>B76*N76/100</f>
        <v>1122.5515949999999</v>
      </c>
      <c r="AF76" s="7">
        <v>827</v>
      </c>
    </row>
    <row r="77" spans="1:32">
      <c r="B77" s="68"/>
      <c r="C77" s="68"/>
      <c r="D77" s="68"/>
      <c r="E77" s="579"/>
      <c r="F77" s="69"/>
      <c r="G77" s="69"/>
      <c r="M77" s="143"/>
      <c r="N77" s="63" t="s">
        <v>183</v>
      </c>
      <c r="P77" s="7" t="s">
        <v>5</v>
      </c>
      <c r="Q77" s="72">
        <v>155722</v>
      </c>
    </row>
    <row r="78" spans="1:32">
      <c r="B78" s="68"/>
      <c r="C78" s="68"/>
      <c r="D78" s="68"/>
      <c r="E78" s="594"/>
      <c r="F78" s="69"/>
      <c r="G78" s="69"/>
      <c r="M78" s="143"/>
      <c r="N78" s="63"/>
      <c r="Q78" s="72"/>
    </row>
    <row r="79" spans="1:32" customFormat="1" ht="12.75">
      <c r="A79" s="593"/>
    </row>
    <row r="80" spans="1:32" customFormat="1" ht="12.75">
      <c r="A80" s="593"/>
      <c r="I80" t="s">
        <v>516</v>
      </c>
      <c r="O80" s="595"/>
      <c r="P80" t="s">
        <v>402</v>
      </c>
      <c r="Q80" s="10">
        <f>Q77*33.7/100</f>
        <v>52478.314000000006</v>
      </c>
    </row>
    <row r="81" spans="2:24">
      <c r="B81" s="69"/>
      <c r="C81" s="69"/>
      <c r="D81" s="69"/>
      <c r="E81" s="579"/>
      <c r="F81" s="69"/>
      <c r="G81" s="69"/>
      <c r="M81" s="143"/>
      <c r="N81" s="576"/>
      <c r="P81" s="139"/>
      <c r="Q81" s="248"/>
      <c r="T81"/>
      <c r="U81"/>
      <c r="V81"/>
      <c r="W81"/>
      <c r="X81"/>
    </row>
    <row r="82" spans="2:24" s="6" customFormat="1" ht="15">
      <c r="B82" s="6">
        <v>1</v>
      </c>
      <c r="C82" s="6" t="s">
        <v>606</v>
      </c>
      <c r="E82" s="589"/>
      <c r="H82" s="6">
        <v>1</v>
      </c>
      <c r="I82" s="6" t="s">
        <v>610</v>
      </c>
      <c r="P82" s="15"/>
      <c r="Q82" s="28"/>
    </row>
    <row r="83" spans="2:24" s="102" customFormat="1" ht="12.75">
      <c r="B83" s="102">
        <v>2</v>
      </c>
      <c r="C83" s="102" t="s">
        <v>612</v>
      </c>
      <c r="H83" s="102">
        <v>1</v>
      </c>
      <c r="I83" s="102" t="s">
        <v>610</v>
      </c>
      <c r="O83" s="102" t="s">
        <v>185</v>
      </c>
      <c r="P83" s="622" t="s">
        <v>5</v>
      </c>
      <c r="Q83" s="378">
        <f>SUM(Q77:Q82)</f>
        <v>208200.31400000001</v>
      </c>
    </row>
    <row r="84" spans="2:24" s="6" customFormat="1" ht="16.5">
      <c r="E84" s="589"/>
      <c r="G84" s="6" t="s">
        <v>21</v>
      </c>
      <c r="H84" s="6">
        <v>2</v>
      </c>
      <c r="I84" s="6" t="s">
        <v>182</v>
      </c>
      <c r="L84" s="346"/>
      <c r="M84" s="620"/>
      <c r="P84" s="15"/>
      <c r="Q84" s="28"/>
      <c r="T84" s="7"/>
      <c r="U84" s="7"/>
      <c r="V84" s="7"/>
      <c r="W84" s="7"/>
      <c r="X84" s="7"/>
    </row>
    <row r="85" spans="2:24" s="6" customFormat="1">
      <c r="E85" s="342" t="s">
        <v>243</v>
      </c>
      <c r="F85" s="3" t="s">
        <v>21</v>
      </c>
      <c r="G85" s="621">
        <f>Q83</f>
        <v>208200.31400000001</v>
      </c>
      <c r="H85" s="3" t="s">
        <v>2</v>
      </c>
      <c r="I85" s="663">
        <v>2</v>
      </c>
      <c r="O85" s="3" t="s">
        <v>43</v>
      </c>
      <c r="P85" s="14" t="s">
        <v>5</v>
      </c>
      <c r="Q85" s="8">
        <f>G85*I85</f>
        <v>416400.62800000003</v>
      </c>
      <c r="T85" s="7"/>
      <c r="U85" s="7"/>
      <c r="V85" s="7"/>
      <c r="W85" s="7"/>
      <c r="X85" s="7"/>
    </row>
  </sheetData>
  <mergeCells count="3">
    <mergeCell ref="A1:Q2"/>
    <mergeCell ref="C57:G57"/>
    <mergeCell ref="C58:G58"/>
  </mergeCells>
  <pageMargins left="0.7" right="0.28000000000000003" top="0.51" bottom="0.75" header="0.3" footer="0.3"/>
  <pageSetup orientation="portrait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rgb="FFFF0000"/>
  </sheetPr>
  <dimension ref="A1:X168"/>
  <sheetViews>
    <sheetView workbookViewId="0">
      <selection sqref="A1:Q173"/>
    </sheetView>
  </sheetViews>
  <sheetFormatPr defaultRowHeight="12.75"/>
  <cols>
    <col min="1" max="1" width="4.140625" customWidth="1"/>
    <col min="2" max="2" width="10.85546875" customWidth="1"/>
    <col min="3" max="3" width="4.42578125" customWidth="1"/>
    <col min="4" max="4" width="3" customWidth="1"/>
    <col min="5" max="5" width="7.28515625" customWidth="1"/>
    <col min="6" max="6" width="2.5703125" customWidth="1"/>
    <col min="7" max="7" width="5.5703125" customWidth="1"/>
    <col min="8" max="8" width="2.7109375" customWidth="1"/>
    <col min="9" max="9" width="6" customWidth="1"/>
    <col min="10" max="10" width="2.42578125" customWidth="1"/>
    <col min="11" max="11" width="7.7109375" customWidth="1"/>
    <col min="12" max="12" width="5" customWidth="1"/>
    <col min="13" max="13" width="3.28515625" customWidth="1"/>
    <col min="14" max="14" width="9.5703125" customWidth="1"/>
    <col min="15" max="15" width="8.140625" customWidth="1"/>
    <col min="16" max="16" width="3.7109375" customWidth="1"/>
    <col min="17" max="17" width="9.7109375" customWidth="1"/>
    <col min="18" max="18" width="0.42578125" customWidth="1"/>
    <col min="19" max="19" width="3.28515625" customWidth="1"/>
    <col min="20" max="20" width="3.5703125" customWidth="1"/>
    <col min="21" max="21" width="3.140625" customWidth="1"/>
    <col min="22" max="22" width="2.85546875" customWidth="1"/>
    <col min="23" max="23" width="6.140625" customWidth="1"/>
    <col min="24" max="29" width="9.140625" customWidth="1"/>
  </cols>
  <sheetData>
    <row r="1" spans="1:23" ht="15">
      <c r="A1" s="914" t="s">
        <v>650</v>
      </c>
      <c r="B1" s="914"/>
      <c r="C1" s="914"/>
      <c r="D1" s="914"/>
      <c r="E1" s="914"/>
      <c r="F1" s="914"/>
      <c r="G1" s="914"/>
      <c r="H1" s="914"/>
      <c r="I1" s="914"/>
      <c r="J1" s="914"/>
      <c r="K1" s="914"/>
      <c r="L1" s="914"/>
      <c r="M1" s="914"/>
      <c r="N1" s="914"/>
      <c r="O1" s="914"/>
      <c r="P1" s="914"/>
      <c r="Q1" s="914"/>
      <c r="R1" s="48"/>
    </row>
    <row r="2" spans="1:23" ht="15.75">
      <c r="A2" s="570">
        <v>1</v>
      </c>
      <c r="B2" s="7" t="s">
        <v>44</v>
      </c>
      <c r="S2">
        <v>20</v>
      </c>
      <c r="T2" t="s">
        <v>46</v>
      </c>
      <c r="U2">
        <v>4</v>
      </c>
      <c r="V2" t="s">
        <v>3</v>
      </c>
      <c r="W2">
        <v>34</v>
      </c>
    </row>
    <row r="3" spans="1:23" ht="15.75">
      <c r="B3" s="7" t="s">
        <v>119</v>
      </c>
      <c r="S3">
        <v>10</v>
      </c>
      <c r="T3" t="s">
        <v>46</v>
      </c>
      <c r="U3">
        <f>U2</f>
        <v>4</v>
      </c>
      <c r="V3" t="s">
        <v>3</v>
      </c>
      <c r="W3">
        <f>S3+U3</f>
        <v>14</v>
      </c>
    </row>
    <row r="5" spans="1:23">
      <c r="B5" s="49" t="s">
        <v>45</v>
      </c>
    </row>
    <row r="6" spans="1:23" ht="14.25">
      <c r="B6" s="123" t="s">
        <v>199</v>
      </c>
      <c r="C6" s="570">
        <v>1</v>
      </c>
      <c r="D6" s="570" t="s">
        <v>2</v>
      </c>
      <c r="E6" s="570">
        <v>0.78500000000000003</v>
      </c>
      <c r="F6" s="570" t="s">
        <v>2</v>
      </c>
      <c r="G6" s="572">
        <v>14</v>
      </c>
      <c r="H6" s="572" t="s">
        <v>2</v>
      </c>
      <c r="I6" s="572">
        <f>G6</f>
        <v>14</v>
      </c>
      <c r="J6" s="572" t="s">
        <v>2</v>
      </c>
      <c r="K6" s="572">
        <v>5</v>
      </c>
      <c r="L6" s="570"/>
      <c r="M6" t="s">
        <v>3</v>
      </c>
      <c r="N6" s="159">
        <f>C6*E6*G6*I6*K6</f>
        <v>769.30000000000007</v>
      </c>
      <c r="O6" t="s">
        <v>18</v>
      </c>
    </row>
    <row r="7" spans="1:23">
      <c r="C7" s="570"/>
      <c r="D7" s="570"/>
      <c r="E7" s="570"/>
      <c r="F7" s="570"/>
      <c r="G7" s="570"/>
      <c r="H7" s="570"/>
      <c r="I7" s="570"/>
      <c r="J7" s="570"/>
      <c r="K7" s="570"/>
      <c r="L7" s="570"/>
      <c r="N7" s="583">
        <f>SUM(N6:N6)</f>
        <v>769.30000000000007</v>
      </c>
      <c r="O7" s="16"/>
    </row>
    <row r="8" spans="1:23">
      <c r="C8" s="570"/>
      <c r="D8" s="570"/>
      <c r="E8" s="570"/>
      <c r="F8" s="570"/>
      <c r="G8" s="570"/>
      <c r="H8" s="570"/>
      <c r="I8" s="570"/>
      <c r="J8" s="570"/>
      <c r="K8" s="570"/>
      <c r="L8" s="570"/>
      <c r="N8" s="585"/>
      <c r="O8" s="3"/>
    </row>
    <row r="9" spans="1:23">
      <c r="B9" s="36">
        <f>N7</f>
        <v>769.30000000000007</v>
      </c>
      <c r="C9" s="230" t="s">
        <v>167</v>
      </c>
      <c r="D9" s="341"/>
      <c r="E9" s="570"/>
      <c r="F9" s="570"/>
      <c r="G9" s="570"/>
      <c r="H9" s="570"/>
      <c r="I9" s="570"/>
      <c r="J9" s="570"/>
      <c r="K9" s="570"/>
      <c r="L9" s="570"/>
      <c r="M9" s="571" t="s">
        <v>47</v>
      </c>
      <c r="N9" s="25">
        <v>2247.58</v>
      </c>
      <c r="O9" s="19" t="s">
        <v>1</v>
      </c>
      <c r="P9" s="571" t="s">
        <v>16</v>
      </c>
      <c r="Q9" s="10">
        <f>B9*N9/1000</f>
        <v>1729.063294</v>
      </c>
    </row>
    <row r="10" spans="1:23">
      <c r="C10" s="570"/>
      <c r="D10" s="570"/>
      <c r="E10" s="570"/>
      <c r="F10" s="570"/>
      <c r="G10" s="570"/>
      <c r="H10" s="570"/>
      <c r="I10" s="570"/>
      <c r="J10" s="570"/>
      <c r="K10" s="570"/>
      <c r="L10" s="342"/>
      <c r="N10" s="571"/>
      <c r="O10" s="574"/>
      <c r="P10" s="19"/>
      <c r="Q10" s="571"/>
      <c r="R10" s="574"/>
    </row>
    <row r="11" spans="1:23" ht="15.75">
      <c r="A11" s="570">
        <v>2</v>
      </c>
      <c r="B11" s="21" t="s">
        <v>49</v>
      </c>
      <c r="C11" s="570"/>
      <c r="D11" s="570"/>
      <c r="E11" s="570"/>
      <c r="F11" s="570"/>
      <c r="G11" s="570"/>
      <c r="H11" s="570"/>
      <c r="I11" s="570"/>
      <c r="J11" s="570"/>
      <c r="K11" s="570"/>
      <c r="L11" s="570"/>
      <c r="N11" s="571"/>
      <c r="O11" s="574"/>
      <c r="P11" s="19"/>
      <c r="Q11" s="571"/>
      <c r="R11" s="574"/>
    </row>
    <row r="12" spans="1:23">
      <c r="B12" t="s">
        <v>50</v>
      </c>
      <c r="C12" s="570"/>
      <c r="D12" s="570"/>
      <c r="E12" s="570"/>
      <c r="F12" s="570"/>
      <c r="G12" s="570"/>
      <c r="H12" s="570"/>
      <c r="I12" s="570"/>
      <c r="J12" s="570"/>
      <c r="K12" s="570"/>
      <c r="L12" s="570"/>
      <c r="N12" s="571"/>
      <c r="O12" s="574"/>
      <c r="P12" s="19"/>
      <c r="Q12" s="571"/>
      <c r="R12" s="574"/>
    </row>
    <row r="13" spans="1:23">
      <c r="B13" t="s">
        <v>51</v>
      </c>
      <c r="C13" s="570"/>
      <c r="D13" s="570"/>
      <c r="E13" s="570"/>
      <c r="F13" s="570"/>
      <c r="G13" s="570"/>
      <c r="H13" s="570"/>
      <c r="I13" s="570"/>
      <c r="J13" s="570"/>
      <c r="K13" s="570"/>
      <c r="L13" s="570"/>
      <c r="N13" s="571"/>
      <c r="O13" s="574"/>
      <c r="P13" s="19"/>
      <c r="Q13" s="571"/>
      <c r="R13" s="574"/>
    </row>
    <row r="14" spans="1:23">
      <c r="B14" t="s">
        <v>52</v>
      </c>
      <c r="C14" s="570"/>
      <c r="D14" s="570"/>
      <c r="E14" s="570"/>
      <c r="F14" s="570"/>
      <c r="G14" s="570"/>
      <c r="H14" s="570"/>
      <c r="I14" s="570"/>
      <c r="J14" s="570"/>
      <c r="K14" s="570"/>
      <c r="L14" s="570"/>
      <c r="N14" s="571"/>
      <c r="O14" s="574"/>
      <c r="P14" s="19"/>
      <c r="Q14" s="571"/>
      <c r="R14" s="574"/>
    </row>
    <row r="15" spans="1:23">
      <c r="B15" t="s">
        <v>53</v>
      </c>
      <c r="C15" s="570"/>
      <c r="D15" s="570"/>
      <c r="E15" s="570"/>
      <c r="F15" s="570"/>
      <c r="G15" s="570"/>
      <c r="H15" s="570"/>
      <c r="I15" s="570"/>
      <c r="J15" s="570"/>
      <c r="K15" s="570"/>
      <c r="L15" s="570"/>
      <c r="N15" s="571"/>
      <c r="O15" s="574"/>
      <c r="P15" s="19"/>
      <c r="Q15" s="571"/>
      <c r="R15" s="574"/>
    </row>
    <row r="16" spans="1:23">
      <c r="B16" t="s">
        <v>54</v>
      </c>
      <c r="C16" s="570"/>
      <c r="D16" s="570"/>
      <c r="E16" s="570"/>
      <c r="F16" s="570"/>
      <c r="G16" s="570"/>
      <c r="H16" s="570"/>
      <c r="I16" s="570"/>
      <c r="J16" s="570"/>
      <c r="K16" s="570"/>
      <c r="L16" s="570"/>
      <c r="N16" s="571"/>
      <c r="O16" s="574"/>
      <c r="P16" s="19"/>
      <c r="Q16" s="571"/>
      <c r="R16" s="574"/>
    </row>
    <row r="17" spans="1:18">
      <c r="B17" t="s">
        <v>55</v>
      </c>
      <c r="C17" s="570"/>
      <c r="D17" s="570"/>
      <c r="E17" s="570"/>
      <c r="F17" s="570"/>
      <c r="G17" s="570"/>
      <c r="H17" s="570"/>
      <c r="I17" s="570"/>
      <c r="J17" s="570"/>
      <c r="K17" s="570"/>
      <c r="L17" s="570"/>
      <c r="N17" s="571"/>
      <c r="O17" s="574"/>
      <c r="P17" s="19"/>
      <c r="Q17" s="571"/>
      <c r="R17" s="574"/>
    </row>
    <row r="18" spans="1:18">
      <c r="B18" s="6" t="s">
        <v>120</v>
      </c>
      <c r="C18" s="570"/>
      <c r="D18" s="570"/>
      <c r="E18" s="570"/>
      <c r="F18" s="570"/>
      <c r="G18" s="570"/>
      <c r="H18" s="570"/>
      <c r="I18" s="570"/>
      <c r="J18" s="570"/>
      <c r="K18" s="570"/>
      <c r="L18" s="570"/>
      <c r="N18" s="571"/>
      <c r="O18" s="574"/>
      <c r="P18" s="19"/>
      <c r="Q18" s="571"/>
      <c r="R18" s="574"/>
    </row>
    <row r="19" spans="1:18">
      <c r="A19" s="589" t="s">
        <v>201</v>
      </c>
      <c r="B19" s="3" t="s">
        <v>56</v>
      </c>
      <c r="C19" s="570"/>
      <c r="D19" s="570"/>
      <c r="E19" s="570"/>
      <c r="F19" s="570"/>
      <c r="G19" s="570"/>
      <c r="H19" s="570"/>
      <c r="I19" s="570"/>
      <c r="J19" s="570"/>
      <c r="K19" s="570"/>
      <c r="L19" s="570"/>
      <c r="N19" s="571"/>
      <c r="O19" s="574"/>
      <c r="P19" s="19"/>
      <c r="Q19" s="571"/>
      <c r="R19" s="574"/>
    </row>
    <row r="20" spans="1:18" ht="25.5">
      <c r="B20" s="190" t="s">
        <v>208</v>
      </c>
      <c r="C20" s="169">
        <f>C6</f>
        <v>1</v>
      </c>
      <c r="D20" s="169" t="s">
        <v>2</v>
      </c>
      <c r="E20" s="169">
        <v>3.14</v>
      </c>
      <c r="F20" s="169" t="s">
        <v>2</v>
      </c>
      <c r="G20" s="171">
        <v>11</v>
      </c>
      <c r="H20" s="169" t="s">
        <v>2</v>
      </c>
      <c r="I20" s="170">
        <v>1.5</v>
      </c>
      <c r="J20" s="169" t="s">
        <v>2</v>
      </c>
      <c r="K20" s="170">
        <v>2</v>
      </c>
      <c r="L20" s="169"/>
      <c r="M20" s="43" t="s">
        <v>3</v>
      </c>
      <c r="N20" s="209">
        <f>C20*E20*G20*I20*K20</f>
        <v>103.62</v>
      </c>
      <c r="O20" s="208" t="s">
        <v>18</v>
      </c>
      <c r="P20" s="19"/>
      <c r="Q20" s="571"/>
      <c r="R20" s="574"/>
    </row>
    <row r="21" spans="1:18" ht="15.75">
      <c r="B21" s="7"/>
      <c r="C21" s="570"/>
      <c r="D21" s="570"/>
      <c r="E21" s="570"/>
      <c r="F21" s="570"/>
      <c r="G21" s="572"/>
      <c r="H21" s="570"/>
      <c r="I21" s="569"/>
      <c r="J21" s="570"/>
      <c r="K21" s="569"/>
      <c r="L21" s="589" t="s">
        <v>4</v>
      </c>
      <c r="M21" s="6" t="s">
        <v>201</v>
      </c>
      <c r="N21" s="585">
        <f>SUM(N20:N20)</f>
        <v>103.62</v>
      </c>
      <c r="O21" s="25" t="s">
        <v>18</v>
      </c>
      <c r="P21" s="19"/>
      <c r="Q21" s="571"/>
      <c r="R21" s="574"/>
    </row>
    <row r="22" spans="1:18">
      <c r="B22" s="16" t="s">
        <v>200</v>
      </c>
      <c r="C22" s="570"/>
      <c r="D22" s="570"/>
      <c r="E22" s="570"/>
      <c r="F22" s="570"/>
      <c r="G22" s="570"/>
      <c r="H22" s="570"/>
      <c r="I22" s="569"/>
      <c r="J22" s="570"/>
      <c r="K22" s="569"/>
      <c r="L22" s="570"/>
      <c r="N22" s="573"/>
      <c r="O22" s="574"/>
      <c r="P22" s="19"/>
      <c r="Q22" s="571"/>
      <c r="R22" s="574"/>
    </row>
    <row r="23" spans="1:18" ht="15.75">
      <c r="B23" s="7" t="s">
        <v>210</v>
      </c>
      <c r="C23" s="570">
        <f>C20</f>
        <v>1</v>
      </c>
      <c r="D23" s="570" t="s">
        <v>2</v>
      </c>
      <c r="E23" s="570">
        <v>3.14</v>
      </c>
      <c r="F23" s="570" t="s">
        <v>2</v>
      </c>
      <c r="G23" s="572">
        <f>G20</f>
        <v>11</v>
      </c>
      <c r="H23" s="570" t="s">
        <v>2</v>
      </c>
      <c r="I23" s="572">
        <v>1</v>
      </c>
      <c r="J23" s="570" t="s">
        <v>2</v>
      </c>
      <c r="K23" s="572">
        <v>12</v>
      </c>
      <c r="L23" s="570"/>
      <c r="M23" t="s">
        <v>3</v>
      </c>
      <c r="N23" s="573">
        <f>C23*E23*G23*I23*K23</f>
        <v>414.48</v>
      </c>
      <c r="O23" s="574" t="s">
        <v>18</v>
      </c>
      <c r="P23" s="19"/>
      <c r="Q23" s="571"/>
      <c r="R23" s="574"/>
    </row>
    <row r="24" spans="1:18">
      <c r="B24" s="2"/>
      <c r="C24" s="570"/>
      <c r="D24" s="570"/>
      <c r="E24" s="589"/>
      <c r="F24" s="570"/>
      <c r="G24" s="569"/>
      <c r="H24" s="570"/>
      <c r="I24" s="570"/>
      <c r="J24" s="570"/>
      <c r="K24" s="589"/>
      <c r="L24" s="570"/>
      <c r="M24" s="54"/>
      <c r="N24" s="585">
        <f>SUM(N23:N23)</f>
        <v>414.48</v>
      </c>
      <c r="O24" s="587"/>
      <c r="P24" s="19"/>
      <c r="Q24" s="571"/>
      <c r="R24" s="574"/>
    </row>
    <row r="25" spans="1:18">
      <c r="B25" s="26">
        <f>N24</f>
        <v>414.48</v>
      </c>
      <c r="C25" s="589" t="s">
        <v>167</v>
      </c>
      <c r="D25" s="570"/>
      <c r="E25" s="570"/>
      <c r="F25" s="570"/>
      <c r="G25" s="570"/>
      <c r="H25" s="570"/>
      <c r="I25" s="570"/>
      <c r="J25" s="570"/>
      <c r="K25" s="570"/>
      <c r="L25" s="570"/>
      <c r="M25" s="346" t="s">
        <v>17</v>
      </c>
      <c r="N25" s="13">
        <v>337</v>
      </c>
      <c r="O25" s="19" t="s">
        <v>48</v>
      </c>
      <c r="P25" s="571" t="s">
        <v>16</v>
      </c>
      <c r="Q25" s="10">
        <f>B25*N25</f>
        <v>139679.76</v>
      </c>
    </row>
    <row r="26" spans="1:18">
      <c r="C26" s="570"/>
      <c r="D26" s="570"/>
      <c r="E26" s="570"/>
      <c r="F26" s="570"/>
      <c r="G26" s="570"/>
      <c r="H26" s="570"/>
      <c r="I26" s="570"/>
      <c r="J26" s="570"/>
      <c r="K26" s="570"/>
      <c r="L26" s="570"/>
      <c r="N26" s="571"/>
      <c r="O26" s="574"/>
      <c r="P26" s="19"/>
      <c r="Q26" s="571"/>
      <c r="R26" s="574"/>
    </row>
    <row r="27" spans="1:18" ht="15.75">
      <c r="A27" s="570">
        <v>3</v>
      </c>
      <c r="B27" s="7" t="s">
        <v>57</v>
      </c>
      <c r="C27" s="570"/>
      <c r="D27" s="570"/>
      <c r="E27" s="570"/>
      <c r="F27" s="570"/>
      <c r="G27" s="570"/>
      <c r="H27" s="570"/>
      <c r="I27" s="570"/>
      <c r="J27" s="570"/>
      <c r="K27" s="570"/>
      <c r="L27" s="570"/>
      <c r="N27" s="571"/>
      <c r="O27" s="574"/>
      <c r="P27" s="19"/>
      <c r="Q27" s="571"/>
      <c r="R27" s="574"/>
    </row>
    <row r="28" spans="1:18" ht="15.75">
      <c r="B28" s="21" t="s">
        <v>58</v>
      </c>
      <c r="C28" s="570"/>
      <c r="D28" s="570"/>
      <c r="E28" s="570"/>
      <c r="F28" s="570"/>
      <c r="G28" s="570"/>
      <c r="H28" s="570"/>
      <c r="I28" s="570"/>
      <c r="J28" s="570"/>
      <c r="K28" s="570"/>
      <c r="L28" s="570"/>
      <c r="N28" s="571"/>
      <c r="O28" s="574"/>
      <c r="P28" s="19"/>
      <c r="Q28" s="571"/>
      <c r="R28" s="574"/>
    </row>
    <row r="29" spans="1:18" ht="15.75">
      <c r="B29" s="21" t="s">
        <v>121</v>
      </c>
      <c r="C29" s="570"/>
      <c r="D29" s="570"/>
      <c r="E29" s="570"/>
      <c r="F29" s="570"/>
      <c r="G29" s="570"/>
      <c r="H29" s="570"/>
      <c r="I29" s="570"/>
      <c r="J29" s="570"/>
      <c r="K29" s="570"/>
      <c r="L29" s="570"/>
      <c r="N29" s="571"/>
      <c r="O29" s="574"/>
      <c r="P29" s="19"/>
      <c r="Q29" s="571"/>
      <c r="R29" s="574"/>
    </row>
    <row r="30" spans="1:18" ht="15.75">
      <c r="B30" s="21" t="s">
        <v>206</v>
      </c>
      <c r="C30" s="570"/>
      <c r="D30" s="570"/>
      <c r="E30" s="570"/>
      <c r="F30" s="570"/>
      <c r="G30" s="570"/>
      <c r="H30" s="570"/>
      <c r="I30" s="570"/>
      <c r="J30" s="570"/>
      <c r="K30" s="570"/>
      <c r="L30" s="570"/>
      <c r="N30" s="571"/>
      <c r="O30" s="574"/>
      <c r="P30" s="19"/>
      <c r="Q30" s="571"/>
      <c r="R30" s="574"/>
    </row>
    <row r="31" spans="1:18">
      <c r="B31" s="26">
        <f>N24</f>
        <v>414.48</v>
      </c>
      <c r="C31" s="570"/>
      <c r="D31" s="570" t="s">
        <v>2</v>
      </c>
      <c r="E31" s="569">
        <v>4.5</v>
      </c>
      <c r="F31" s="570" t="s">
        <v>31</v>
      </c>
      <c r="G31" s="570">
        <v>112</v>
      </c>
      <c r="H31" s="570"/>
      <c r="I31" s="570"/>
      <c r="J31" s="570"/>
      <c r="K31" s="570"/>
      <c r="L31" s="570"/>
      <c r="M31" t="s">
        <v>3</v>
      </c>
      <c r="N31" s="573">
        <f>B31*E31/112</f>
        <v>16.653214285714288</v>
      </c>
      <c r="O31" s="574" t="s">
        <v>59</v>
      </c>
      <c r="P31" s="19"/>
      <c r="Q31" s="571"/>
      <c r="R31" s="574"/>
    </row>
    <row r="32" spans="1:18" ht="15.75">
      <c r="B32" s="21" t="s">
        <v>205</v>
      </c>
      <c r="C32" s="570"/>
      <c r="D32" s="570"/>
      <c r="E32" s="570"/>
      <c r="F32" s="570"/>
      <c r="G32" s="570"/>
      <c r="H32" s="570"/>
      <c r="I32" s="570"/>
      <c r="J32" s="570"/>
      <c r="K32" s="570"/>
      <c r="L32" s="570"/>
      <c r="N32" s="571"/>
      <c r="O32" s="574"/>
      <c r="P32" s="19"/>
      <c r="Q32" s="571"/>
      <c r="R32" s="574"/>
    </row>
    <row r="33" spans="1:18">
      <c r="B33" s="26">
        <f>N21</f>
        <v>103.62</v>
      </c>
      <c r="C33" s="570"/>
      <c r="D33" s="570" t="s">
        <v>2</v>
      </c>
      <c r="E33" s="572">
        <v>8</v>
      </c>
      <c r="F33" s="570" t="s">
        <v>31</v>
      </c>
      <c r="G33" s="570">
        <v>112</v>
      </c>
      <c r="H33" s="570"/>
      <c r="I33" s="570"/>
      <c r="J33" s="570"/>
      <c r="K33" s="570"/>
      <c r="L33" s="570"/>
      <c r="M33" t="s">
        <v>3</v>
      </c>
      <c r="N33" s="668">
        <f>B33*E33/112</f>
        <v>7.4014285714285721</v>
      </c>
      <c r="O33" s="17" t="s">
        <v>59</v>
      </c>
      <c r="P33" s="19"/>
      <c r="Q33" s="571"/>
      <c r="R33" s="574"/>
    </row>
    <row r="34" spans="1:18">
      <c r="B34" s="26"/>
      <c r="C34" s="570"/>
      <c r="D34" s="570"/>
      <c r="E34" s="570"/>
      <c r="F34" s="570"/>
      <c r="G34" s="570"/>
      <c r="H34" s="570"/>
      <c r="I34" s="570"/>
      <c r="J34" s="570"/>
      <c r="K34" s="570"/>
      <c r="L34" s="570"/>
      <c r="N34" s="585">
        <f>SUM(N31:N33)</f>
        <v>24.054642857142859</v>
      </c>
      <c r="O34" s="587" t="s">
        <v>59</v>
      </c>
      <c r="P34" s="19"/>
      <c r="Q34" s="571"/>
      <c r="R34" s="574"/>
    </row>
    <row r="35" spans="1:18">
      <c r="B35" s="26"/>
      <c r="C35" s="570"/>
      <c r="D35" s="570"/>
      <c r="E35" s="570"/>
      <c r="F35" s="570"/>
      <c r="G35" s="570"/>
      <c r="H35" s="570"/>
      <c r="I35" s="570"/>
      <c r="J35" s="570"/>
      <c r="K35" s="570"/>
      <c r="L35" s="570"/>
      <c r="N35" s="585"/>
      <c r="O35" s="587"/>
      <c r="P35" s="19"/>
      <c r="Q35" s="571"/>
      <c r="R35" s="574"/>
    </row>
    <row r="36" spans="1:18">
      <c r="B36" s="26">
        <f>N34</f>
        <v>24.054642857142859</v>
      </c>
      <c r="C36" s="589" t="str">
        <f>O31</f>
        <v>Cwt.</v>
      </c>
      <c r="D36" s="570"/>
      <c r="E36" s="570"/>
      <c r="F36" s="570"/>
      <c r="G36" s="570"/>
      <c r="H36" s="570"/>
      <c r="I36" s="570"/>
      <c r="J36" s="570"/>
      <c r="K36" s="570"/>
      <c r="L36" s="570"/>
      <c r="M36" s="571" t="str">
        <f>M25</f>
        <v xml:space="preserve"> @Rs:</v>
      </c>
      <c r="N36" s="13">
        <v>5001.7</v>
      </c>
      <c r="O36" s="19" t="s">
        <v>60</v>
      </c>
      <c r="P36" s="571" t="s">
        <v>16</v>
      </c>
      <c r="Q36" s="10">
        <f>B36*N36</f>
        <v>120314.10717857143</v>
      </c>
    </row>
    <row r="37" spans="1:18">
      <c r="C37" s="570"/>
      <c r="D37" s="570"/>
      <c r="E37" s="570"/>
      <c r="F37" s="570"/>
      <c r="G37" s="570"/>
      <c r="H37" s="570"/>
      <c r="I37" s="570"/>
      <c r="J37" s="570"/>
      <c r="K37" s="570"/>
      <c r="L37" s="570"/>
      <c r="N37" s="571"/>
      <c r="O37" s="574"/>
      <c r="P37" s="19"/>
      <c r="Q37" s="571"/>
      <c r="R37" s="574"/>
    </row>
    <row r="38" spans="1:18" ht="15.75">
      <c r="A38" s="570">
        <v>4</v>
      </c>
      <c r="B38" s="21" t="s">
        <v>190</v>
      </c>
      <c r="C38" s="570"/>
      <c r="D38" s="570"/>
      <c r="E38" s="570"/>
      <c r="F38" s="570"/>
      <c r="G38" s="570"/>
      <c r="H38" s="570"/>
      <c r="I38" s="570"/>
      <c r="J38" s="570"/>
      <c r="K38" s="570"/>
      <c r="L38" s="570"/>
      <c r="N38" s="571"/>
      <c r="O38" s="574"/>
      <c r="P38" s="19"/>
      <c r="Q38" s="571"/>
      <c r="R38" s="574"/>
    </row>
    <row r="39" spans="1:18" ht="15.75">
      <c r="B39" s="21" t="s">
        <v>61</v>
      </c>
      <c r="C39" s="570"/>
      <c r="D39" s="570"/>
      <c r="E39" s="570"/>
      <c r="F39" s="570"/>
      <c r="G39" s="570"/>
      <c r="H39" s="570"/>
      <c r="I39" s="570"/>
      <c r="J39" s="570"/>
      <c r="K39" s="570"/>
      <c r="L39" s="570"/>
      <c r="N39" s="571"/>
      <c r="O39" s="574"/>
      <c r="P39" s="19"/>
      <c r="Q39" s="571"/>
      <c r="R39" s="574"/>
    </row>
    <row r="40" spans="1:18" ht="15.75">
      <c r="B40" s="21" t="s">
        <v>122</v>
      </c>
      <c r="C40" s="570"/>
      <c r="D40" s="570"/>
      <c r="E40" s="570"/>
      <c r="F40" s="570"/>
      <c r="G40" s="570"/>
      <c r="H40" s="570"/>
      <c r="I40" s="570"/>
      <c r="J40" s="570"/>
      <c r="K40" s="570"/>
      <c r="L40" s="570"/>
      <c r="N40" s="571"/>
      <c r="O40" s="574"/>
      <c r="P40" s="19"/>
      <c r="Q40" s="571"/>
      <c r="R40" s="574"/>
    </row>
    <row r="41" spans="1:18">
      <c r="B41" s="55" t="s">
        <v>207</v>
      </c>
      <c r="C41" s="570"/>
      <c r="D41" s="570"/>
      <c r="E41" s="570"/>
      <c r="F41" s="570"/>
      <c r="G41" s="570"/>
      <c r="H41" s="570"/>
      <c r="I41" s="570"/>
      <c r="J41" s="570"/>
      <c r="K41" s="570"/>
      <c r="L41" s="570"/>
      <c r="N41" s="571"/>
      <c r="O41" s="574"/>
      <c r="P41" s="19"/>
      <c r="Q41" s="571"/>
      <c r="R41" s="574"/>
    </row>
    <row r="42" spans="1:18" ht="14.25">
      <c r="B42" s="123" t="s">
        <v>211</v>
      </c>
      <c r="C42" s="570">
        <f>C23</f>
        <v>1</v>
      </c>
      <c r="D42" s="570" t="s">
        <v>2</v>
      </c>
      <c r="E42" s="570">
        <v>0.78500000000000003</v>
      </c>
      <c r="F42" s="570" t="s">
        <v>2</v>
      </c>
      <c r="G42" s="569">
        <v>12.5</v>
      </c>
      <c r="H42" s="570" t="s">
        <v>2</v>
      </c>
      <c r="I42" s="569">
        <f>G42</f>
        <v>12.5</v>
      </c>
      <c r="J42" s="570" t="s">
        <v>2</v>
      </c>
      <c r="K42" s="572">
        <v>5</v>
      </c>
      <c r="L42" s="570"/>
      <c r="M42" t="s">
        <v>3</v>
      </c>
      <c r="N42" s="120">
        <f>C42*E42*G42*I42*K42</f>
        <v>613.28125</v>
      </c>
      <c r="O42" t="s">
        <v>18</v>
      </c>
      <c r="Q42" s="571"/>
      <c r="R42" s="574"/>
    </row>
    <row r="43" spans="1:18">
      <c r="C43" s="570"/>
      <c r="D43" s="570"/>
      <c r="E43" s="570"/>
      <c r="F43" s="570"/>
      <c r="G43" s="570"/>
      <c r="H43" s="570"/>
      <c r="I43" s="570"/>
      <c r="J43" s="570"/>
      <c r="K43" s="570"/>
      <c r="L43" s="570"/>
      <c r="N43" s="583">
        <f>SUM(N42:N42)</f>
        <v>613.28125</v>
      </c>
      <c r="O43" s="6" t="s">
        <v>167</v>
      </c>
      <c r="Q43" s="571"/>
      <c r="R43" s="574"/>
    </row>
    <row r="44" spans="1:18">
      <c r="B44" s="26">
        <f>N43</f>
        <v>613.28125</v>
      </c>
      <c r="C44" s="589" t="s">
        <v>167</v>
      </c>
      <c r="D44" s="570"/>
      <c r="E44" s="570"/>
      <c r="F44" s="570"/>
      <c r="G44" s="570"/>
      <c r="H44" s="570"/>
      <c r="I44" s="570"/>
      <c r="J44" s="570"/>
      <c r="K44" s="570"/>
      <c r="L44" s="570"/>
      <c r="M44" s="571" t="str">
        <f>M36</f>
        <v xml:space="preserve"> @Rs:</v>
      </c>
      <c r="N44" s="13">
        <v>11763.8</v>
      </c>
      <c r="O44" s="19" t="s">
        <v>1</v>
      </c>
      <c r="P44" s="571" t="s">
        <v>16</v>
      </c>
      <c r="Q44" s="10">
        <f>B44*N44/1000</f>
        <v>7214.5179687500004</v>
      </c>
    </row>
    <row r="45" spans="1:18">
      <c r="B45" s="55" t="s">
        <v>62</v>
      </c>
      <c r="C45" s="570"/>
      <c r="D45" s="570"/>
      <c r="E45" s="570"/>
      <c r="F45" s="570"/>
      <c r="G45" s="570"/>
      <c r="H45" s="570"/>
      <c r="I45" s="570"/>
      <c r="J45" s="570"/>
      <c r="K45" s="570"/>
      <c r="L45" s="570"/>
      <c r="N45" s="573"/>
      <c r="O45" s="574"/>
      <c r="P45" s="19"/>
      <c r="Q45" s="571"/>
      <c r="R45" s="574"/>
    </row>
    <row r="46" spans="1:18" ht="14.25">
      <c r="B46" s="123" t="s">
        <v>211</v>
      </c>
      <c r="C46" s="570">
        <f>C42</f>
        <v>1</v>
      </c>
      <c r="D46" s="570" t="s">
        <v>2</v>
      </c>
      <c r="E46" s="570">
        <v>0.78500000000000003</v>
      </c>
      <c r="F46" s="570" t="s">
        <v>2</v>
      </c>
      <c r="G46" s="569">
        <v>12.5</v>
      </c>
      <c r="H46" s="570" t="s">
        <v>2</v>
      </c>
      <c r="I46" s="569">
        <f>G46</f>
        <v>12.5</v>
      </c>
      <c r="J46" s="570" t="s">
        <v>2</v>
      </c>
      <c r="K46" s="572">
        <v>2</v>
      </c>
      <c r="L46" s="570"/>
      <c r="M46" t="s">
        <v>3</v>
      </c>
      <c r="N46" s="120">
        <f>C46*E46*G46*I46*K46</f>
        <v>245.3125</v>
      </c>
      <c r="O46" t="s">
        <v>18</v>
      </c>
      <c r="Q46" s="571"/>
      <c r="R46" s="574"/>
    </row>
    <row r="47" spans="1:18">
      <c r="C47" s="570"/>
      <c r="D47" s="570"/>
      <c r="E47" s="570"/>
      <c r="F47" s="570"/>
      <c r="G47" s="570"/>
      <c r="H47" s="570"/>
      <c r="I47" s="570"/>
      <c r="J47" s="570"/>
      <c r="K47" s="570"/>
      <c r="L47" s="570"/>
      <c r="N47" s="583">
        <f>N46</f>
        <v>245.3125</v>
      </c>
      <c r="O47" s="6" t="s">
        <v>167</v>
      </c>
      <c r="Q47" s="571"/>
      <c r="R47" s="574"/>
    </row>
    <row r="48" spans="1:18">
      <c r="A48" s="6"/>
      <c r="B48" s="26">
        <f>N47</f>
        <v>245.3125</v>
      </c>
      <c r="C48" s="589" t="str">
        <f>O47</f>
        <v>cft</v>
      </c>
      <c r="D48" s="589"/>
      <c r="E48" s="589"/>
      <c r="F48" s="589"/>
      <c r="G48" s="589"/>
      <c r="H48" s="589"/>
      <c r="I48" s="589"/>
      <c r="J48" s="589"/>
      <c r="K48" s="589"/>
      <c r="L48" s="589"/>
      <c r="M48" s="346" t="s">
        <v>17</v>
      </c>
      <c r="N48" s="25">
        <v>24200</v>
      </c>
      <c r="O48" s="225" t="s">
        <v>1</v>
      </c>
      <c r="P48" s="346" t="s">
        <v>16</v>
      </c>
      <c r="Q48" s="28">
        <f>B48*N48/1000</f>
        <v>5936.5625</v>
      </c>
    </row>
    <row r="49" spans="1:18">
      <c r="A49" s="6"/>
      <c r="B49" s="26"/>
      <c r="C49" s="670"/>
      <c r="D49" s="670"/>
      <c r="E49" s="670"/>
      <c r="F49" s="670"/>
      <c r="G49" s="670"/>
      <c r="H49" s="670"/>
      <c r="I49" s="670"/>
      <c r="J49" s="670"/>
      <c r="K49" s="670"/>
      <c r="L49" s="670"/>
      <c r="M49" s="671"/>
      <c r="N49" s="25"/>
      <c r="O49" s="225"/>
      <c r="P49" s="671"/>
      <c r="Q49" s="28"/>
    </row>
    <row r="50" spans="1:18">
      <c r="A50" s="6"/>
      <c r="B50" s="26"/>
      <c r="C50" s="670"/>
      <c r="D50" s="670"/>
      <c r="E50" s="670"/>
      <c r="F50" s="670"/>
      <c r="G50" s="670"/>
      <c r="H50" s="670"/>
      <c r="I50" s="670"/>
      <c r="J50" s="670"/>
      <c r="K50" s="670"/>
      <c r="L50" s="670"/>
      <c r="M50" s="671"/>
      <c r="N50" s="25"/>
      <c r="O50" s="225"/>
      <c r="P50" s="671"/>
      <c r="Q50" s="28"/>
    </row>
    <row r="51" spans="1:18">
      <c r="C51" s="570"/>
      <c r="D51" s="570"/>
      <c r="E51" s="570"/>
      <c r="F51" s="570"/>
      <c r="G51" s="570"/>
      <c r="H51" s="570"/>
      <c r="I51" s="570"/>
      <c r="J51" s="570"/>
      <c r="K51" s="570"/>
      <c r="L51" s="570"/>
      <c r="N51" s="571"/>
      <c r="O51" s="574"/>
      <c r="P51" s="19"/>
      <c r="Q51" s="571"/>
      <c r="R51" s="574"/>
    </row>
    <row r="52" spans="1:18" ht="15.75">
      <c r="A52" s="570">
        <v>5</v>
      </c>
      <c r="B52" s="59" t="s">
        <v>66</v>
      </c>
      <c r="C52" s="570"/>
      <c r="D52" s="570"/>
      <c r="E52" s="570"/>
      <c r="F52" s="570"/>
      <c r="G52" s="570"/>
      <c r="H52" s="570"/>
      <c r="I52" s="570"/>
      <c r="J52" s="570"/>
      <c r="K52" s="570"/>
      <c r="L52" s="570"/>
      <c r="N52" s="571"/>
      <c r="O52" s="574"/>
      <c r="P52" s="19"/>
      <c r="Q52" s="571"/>
      <c r="R52" s="10"/>
    </row>
    <row r="53" spans="1:18" ht="15.75">
      <c r="B53" s="21" t="s">
        <v>123</v>
      </c>
      <c r="C53" s="570"/>
      <c r="D53" s="570"/>
      <c r="E53" s="570"/>
      <c r="F53" s="570"/>
      <c r="G53" s="570"/>
      <c r="H53" s="570"/>
      <c r="I53" s="570"/>
      <c r="J53" s="570"/>
      <c r="K53" s="570"/>
      <c r="L53" s="570"/>
      <c r="N53" s="571"/>
      <c r="O53" s="574"/>
      <c r="P53" s="19"/>
      <c r="Q53" s="571"/>
      <c r="R53" s="10"/>
    </row>
    <row r="54" spans="1:18" ht="14.25">
      <c r="B54" s="123" t="s">
        <v>211</v>
      </c>
      <c r="C54" s="570">
        <f>C42</f>
        <v>1</v>
      </c>
      <c r="D54" s="570" t="s">
        <v>2</v>
      </c>
      <c r="E54" s="570">
        <v>0.78500000000000003</v>
      </c>
      <c r="F54" s="570" t="s">
        <v>2</v>
      </c>
      <c r="G54" s="569">
        <v>9.5</v>
      </c>
      <c r="H54" s="569" t="s">
        <v>2</v>
      </c>
      <c r="I54" s="569">
        <f>G54</f>
        <v>9.5</v>
      </c>
      <c r="J54" s="572" t="s">
        <v>2</v>
      </c>
      <c r="K54" s="569">
        <v>2</v>
      </c>
      <c r="L54" s="570"/>
      <c r="M54" t="s">
        <v>3</v>
      </c>
      <c r="N54" s="125">
        <f>C54*E54*G54*I54*K54</f>
        <v>141.6925</v>
      </c>
      <c r="O54" t="s">
        <v>18</v>
      </c>
      <c r="P54" s="19"/>
      <c r="Q54" s="571"/>
      <c r="R54" s="10"/>
    </row>
    <row r="55" spans="1:18" ht="15.75">
      <c r="B55" s="70" t="s">
        <v>215</v>
      </c>
      <c r="C55" s="168" t="s">
        <v>191</v>
      </c>
      <c r="D55" s="169" t="s">
        <v>2</v>
      </c>
      <c r="E55" s="168">
        <v>3.14</v>
      </c>
      <c r="F55" s="169" t="s">
        <v>2</v>
      </c>
      <c r="G55" s="170">
        <v>10.5</v>
      </c>
      <c r="H55" s="171" t="s">
        <v>2</v>
      </c>
      <c r="I55" s="170">
        <v>1.17</v>
      </c>
      <c r="J55" s="171" t="s">
        <v>2</v>
      </c>
      <c r="K55" s="170">
        <v>1.25</v>
      </c>
      <c r="L55" s="169"/>
      <c r="M55" s="43" t="s">
        <v>3</v>
      </c>
      <c r="N55" s="209">
        <v>24.49</v>
      </c>
      <c r="O55" s="43" t="s">
        <v>18</v>
      </c>
      <c r="P55" s="19"/>
      <c r="Q55" s="571"/>
      <c r="R55" s="10"/>
    </row>
    <row r="56" spans="1:18">
      <c r="C56" s="570"/>
      <c r="D56" s="570"/>
      <c r="E56" s="570"/>
      <c r="F56" s="570"/>
      <c r="G56" s="570"/>
      <c r="H56" s="570"/>
      <c r="I56" s="570"/>
      <c r="J56" s="570"/>
      <c r="K56" s="570"/>
      <c r="L56" s="570"/>
      <c r="N56" s="583">
        <f>SUM(N54:N55)</f>
        <v>166.1825</v>
      </c>
      <c r="O56" s="6" t="s">
        <v>167</v>
      </c>
      <c r="P56" s="19"/>
      <c r="Q56" s="571"/>
      <c r="R56" s="10"/>
    </row>
    <row r="57" spans="1:18">
      <c r="C57" s="570"/>
      <c r="D57" s="570"/>
      <c r="E57" s="570"/>
      <c r="F57" s="570"/>
      <c r="G57" s="570"/>
      <c r="H57" s="570"/>
      <c r="I57" s="570"/>
      <c r="J57" s="570"/>
      <c r="K57" s="570"/>
      <c r="L57" s="570"/>
      <c r="N57" s="585"/>
      <c r="O57" s="587"/>
      <c r="P57" s="19"/>
      <c r="Q57" s="571"/>
      <c r="R57" s="10"/>
    </row>
    <row r="58" spans="1:18">
      <c r="B58" s="56">
        <f>N56</f>
        <v>166.1825</v>
      </c>
      <c r="C58" s="342" t="s">
        <v>167</v>
      </c>
      <c r="D58" s="570"/>
      <c r="E58" s="570"/>
      <c r="F58" s="570"/>
      <c r="G58" s="570"/>
      <c r="H58" s="570"/>
      <c r="I58" s="570"/>
      <c r="J58" s="570"/>
      <c r="K58" s="570"/>
      <c r="L58" s="124" t="s">
        <v>178</v>
      </c>
      <c r="M58" s="583" t="s">
        <v>5</v>
      </c>
      <c r="N58" s="13">
        <v>9416.2800000000007</v>
      </c>
      <c r="O58" s="19" t="s">
        <v>27</v>
      </c>
      <c r="P58" s="571" t="s">
        <v>16</v>
      </c>
      <c r="Q58" s="10">
        <f>B58*N58/100</f>
        <v>15648.209511000001</v>
      </c>
    </row>
    <row r="59" spans="1:18">
      <c r="C59" s="570"/>
      <c r="D59" s="570"/>
      <c r="E59" s="570"/>
      <c r="F59" s="570"/>
      <c r="G59" s="570"/>
      <c r="H59" s="570"/>
      <c r="I59" s="570"/>
      <c r="J59" s="570"/>
      <c r="K59" s="570"/>
      <c r="L59" s="570"/>
      <c r="N59" s="585"/>
      <c r="O59" s="574"/>
      <c r="P59" s="19"/>
      <c r="Q59" s="571"/>
      <c r="R59" s="10"/>
    </row>
    <row r="60" spans="1:18" ht="15.75">
      <c r="A60" s="570">
        <v>6</v>
      </c>
      <c r="B60" s="21" t="s">
        <v>67</v>
      </c>
      <c r="C60" s="570"/>
      <c r="D60" s="570"/>
      <c r="E60" s="570"/>
      <c r="F60" s="570"/>
      <c r="G60" s="570"/>
      <c r="H60" s="570"/>
      <c r="I60" s="570"/>
      <c r="J60" s="570"/>
      <c r="K60" s="570"/>
      <c r="L60" s="570"/>
      <c r="N60" s="571"/>
      <c r="O60" s="574"/>
      <c r="P60" s="19"/>
      <c r="Q60" s="571"/>
      <c r="R60" s="574"/>
    </row>
    <row r="61" spans="1:18" ht="15.75">
      <c r="B61" s="21" t="s">
        <v>68</v>
      </c>
      <c r="C61" s="570"/>
      <c r="D61" s="570"/>
      <c r="E61" s="570"/>
      <c r="F61" s="570"/>
      <c r="G61" s="570"/>
      <c r="H61" s="570"/>
      <c r="I61" s="570"/>
      <c r="J61" s="570"/>
      <c r="K61" s="570"/>
      <c r="L61" s="570"/>
      <c r="N61" s="571"/>
      <c r="O61" s="574"/>
      <c r="P61" s="19"/>
      <c r="Q61" s="571"/>
      <c r="R61" s="574"/>
    </row>
    <row r="62" spans="1:18">
      <c r="B62" s="6" t="s">
        <v>124</v>
      </c>
      <c r="C62" s="570"/>
      <c r="D62" s="570"/>
      <c r="E62" s="570"/>
      <c r="F62" s="570"/>
      <c r="G62" s="570"/>
      <c r="H62" s="570"/>
      <c r="I62" s="570"/>
      <c r="J62" s="570"/>
      <c r="K62" s="570"/>
      <c r="L62" s="570"/>
      <c r="N62" s="571"/>
      <c r="O62" s="574"/>
      <c r="P62" s="19"/>
      <c r="Q62" s="571"/>
      <c r="R62" s="574"/>
    </row>
    <row r="63" spans="1:18">
      <c r="A63" s="6" t="s">
        <v>150</v>
      </c>
      <c r="B63" s="49" t="s">
        <v>147</v>
      </c>
      <c r="C63" s="570"/>
      <c r="D63" s="570"/>
      <c r="E63" s="570"/>
      <c r="F63" s="570"/>
      <c r="G63" s="570"/>
      <c r="H63" s="570"/>
      <c r="I63" s="570"/>
      <c r="J63" s="570"/>
      <c r="K63" s="570"/>
      <c r="L63" s="570"/>
      <c r="N63" s="571"/>
      <c r="O63" s="574"/>
      <c r="P63" s="19"/>
      <c r="Q63" s="571"/>
      <c r="R63" s="574"/>
    </row>
    <row r="64" spans="1:18" ht="14.25">
      <c r="B64" s="121" t="s">
        <v>211</v>
      </c>
      <c r="C64" s="570">
        <f>C6</f>
        <v>1</v>
      </c>
      <c r="D64" s="570" t="s">
        <v>2</v>
      </c>
      <c r="E64" s="570">
        <v>0.78500000000000003</v>
      </c>
      <c r="F64" s="570" t="s">
        <v>2</v>
      </c>
      <c r="G64" s="572">
        <v>10</v>
      </c>
      <c r="H64" s="572" t="s">
        <v>2</v>
      </c>
      <c r="I64" s="572">
        <f>G64</f>
        <v>10</v>
      </c>
      <c r="J64" s="572" t="s">
        <v>2</v>
      </c>
      <c r="K64" s="572">
        <v>1</v>
      </c>
      <c r="L64" s="570"/>
      <c r="M64" t="s">
        <v>3</v>
      </c>
      <c r="N64" s="120">
        <f>C64*E64*G64*I64*K64</f>
        <v>78.5</v>
      </c>
      <c r="O64" t="s">
        <v>18</v>
      </c>
    </row>
    <row r="65" spans="1:18">
      <c r="B65" s="6"/>
      <c r="C65" s="570"/>
      <c r="D65" s="570"/>
      <c r="E65" s="570"/>
      <c r="F65" s="570"/>
      <c r="G65" s="572"/>
      <c r="H65" s="572"/>
      <c r="I65" s="569"/>
      <c r="J65" s="572"/>
      <c r="K65" s="572"/>
      <c r="L65" s="570"/>
      <c r="N65" s="573">
        <f>SUM(N64:N64)</f>
        <v>78.5</v>
      </c>
      <c r="P65" s="19"/>
      <c r="Q65" s="571"/>
      <c r="R65" s="574"/>
    </row>
    <row r="66" spans="1:18">
      <c r="B66" s="56">
        <f>N65</f>
        <v>78.5</v>
      </c>
      <c r="C66" s="570" t="s">
        <v>167</v>
      </c>
      <c r="D66" s="570"/>
      <c r="E66" s="570"/>
      <c r="F66" s="570"/>
      <c r="G66" s="572"/>
      <c r="H66" s="572"/>
      <c r="I66" s="572"/>
      <c r="J66" s="572"/>
      <c r="K66" s="572"/>
      <c r="L66" s="570"/>
      <c r="M66" s="573" t="str">
        <f>M58</f>
        <v>Rs</v>
      </c>
      <c r="N66" s="13">
        <v>11288.75</v>
      </c>
      <c r="O66" s="19" t="s">
        <v>27</v>
      </c>
      <c r="P66" s="571" t="s">
        <v>16</v>
      </c>
      <c r="Q66" s="10">
        <f>B66*N66/100</f>
        <v>8861.6687500000007</v>
      </c>
    </row>
    <row r="67" spans="1:18">
      <c r="C67" s="570"/>
      <c r="D67" s="570"/>
      <c r="E67" s="570"/>
      <c r="F67" s="570"/>
      <c r="G67" s="572"/>
      <c r="H67" s="572"/>
      <c r="I67" s="572"/>
      <c r="J67" s="572"/>
      <c r="K67" s="572"/>
      <c r="L67" s="570"/>
      <c r="N67" s="571"/>
      <c r="O67" s="574"/>
      <c r="P67" s="19"/>
      <c r="Q67" s="571"/>
      <c r="R67" s="574"/>
    </row>
    <row r="68" spans="1:18">
      <c r="A68" s="6" t="s">
        <v>151</v>
      </c>
      <c r="B68" s="49" t="s">
        <v>148</v>
      </c>
      <c r="C68" s="570"/>
      <c r="D68" s="570"/>
      <c r="E68" s="570"/>
      <c r="F68" s="570"/>
      <c r="G68" s="572"/>
      <c r="H68" s="572"/>
      <c r="I68" s="572"/>
      <c r="J68" s="572"/>
      <c r="K68" s="572"/>
      <c r="L68" s="570"/>
      <c r="N68" s="571"/>
      <c r="O68" s="574"/>
      <c r="P68" s="19"/>
      <c r="Q68" s="571"/>
      <c r="R68" s="574"/>
    </row>
    <row r="69" spans="1:18" ht="14.25">
      <c r="B69" s="121" t="s">
        <v>211</v>
      </c>
      <c r="C69" s="570">
        <f>C64</f>
        <v>1</v>
      </c>
      <c r="D69" s="570" t="s">
        <v>2</v>
      </c>
      <c r="E69" s="570">
        <v>0.78500000000000003</v>
      </c>
      <c r="F69" s="570" t="s">
        <v>2</v>
      </c>
      <c r="G69" s="572">
        <v>10</v>
      </c>
      <c r="H69" s="572" t="s">
        <v>2</v>
      </c>
      <c r="I69" s="572">
        <f>G69</f>
        <v>10</v>
      </c>
      <c r="J69" s="572" t="s">
        <v>2</v>
      </c>
      <c r="K69" s="572">
        <v>1</v>
      </c>
      <c r="L69" s="570"/>
      <c r="M69" t="s">
        <v>3</v>
      </c>
      <c r="N69" s="159">
        <f>C69*E69*G69*I69*K69</f>
        <v>78.5</v>
      </c>
      <c r="O69" t="s">
        <v>18</v>
      </c>
    </row>
    <row r="70" spans="1:18">
      <c r="C70" s="570"/>
      <c r="D70" s="570"/>
      <c r="E70" s="570"/>
      <c r="F70" s="570"/>
      <c r="G70" s="570"/>
      <c r="H70" s="570"/>
      <c r="I70" s="570"/>
      <c r="J70" s="570"/>
      <c r="K70" s="570"/>
      <c r="L70" s="570"/>
      <c r="N70" s="583">
        <f>SUM(N69:N69)</f>
        <v>78.5</v>
      </c>
      <c r="O70" s="16"/>
    </row>
    <row r="71" spans="1:18">
      <c r="B71" s="56">
        <f>N70</f>
        <v>78.5</v>
      </c>
      <c r="C71" s="666" t="s">
        <v>167</v>
      </c>
      <c r="D71" s="570"/>
      <c r="E71" s="570"/>
      <c r="F71" s="570"/>
      <c r="G71" s="570"/>
      <c r="H71" s="570"/>
      <c r="I71" s="570"/>
      <c r="J71" s="570"/>
      <c r="K71" s="570"/>
      <c r="L71" s="570"/>
      <c r="M71" s="573" t="str">
        <f>M66</f>
        <v>Rs</v>
      </c>
      <c r="N71" s="13">
        <v>12595</v>
      </c>
      <c r="O71" s="19" t="str">
        <f>O66</f>
        <v>P% Cft</v>
      </c>
      <c r="P71" s="571" t="s">
        <v>16</v>
      </c>
      <c r="Q71" s="10">
        <f>B71*N71/100</f>
        <v>9887.0750000000007</v>
      </c>
    </row>
    <row r="72" spans="1:18">
      <c r="B72" s="56"/>
      <c r="C72" s="570"/>
      <c r="D72" s="570"/>
      <c r="E72" s="570"/>
      <c r="F72" s="570"/>
      <c r="G72" s="570"/>
      <c r="H72" s="570"/>
      <c r="I72" s="570"/>
      <c r="J72" s="570"/>
      <c r="K72" s="570"/>
      <c r="L72" s="570"/>
      <c r="M72" s="573"/>
      <c r="N72" s="13"/>
      <c r="O72" s="19"/>
      <c r="P72" s="571"/>
      <c r="Q72" s="10"/>
    </row>
    <row r="73" spans="1:18">
      <c r="A73" s="6" t="s">
        <v>152</v>
      </c>
      <c r="B73" s="49" t="s">
        <v>149</v>
      </c>
      <c r="C73" s="570"/>
      <c r="D73" s="570"/>
      <c r="E73" s="570"/>
      <c r="F73" s="570"/>
      <c r="G73" s="570"/>
      <c r="H73" s="570"/>
      <c r="I73" s="570"/>
      <c r="J73" s="570"/>
      <c r="K73" s="570"/>
      <c r="L73" s="570"/>
      <c r="N73" s="571"/>
      <c r="O73" s="574"/>
      <c r="P73" s="19"/>
      <c r="Q73" s="571"/>
      <c r="R73" s="574"/>
    </row>
    <row r="74" spans="1:18" ht="14.25">
      <c r="B74" s="123" t="s">
        <v>211</v>
      </c>
      <c r="C74" s="570">
        <f>C6</f>
        <v>1</v>
      </c>
      <c r="D74" s="570" t="s">
        <v>2</v>
      </c>
      <c r="E74" s="570">
        <v>0.78500000000000003</v>
      </c>
      <c r="F74" s="570" t="s">
        <v>2</v>
      </c>
      <c r="G74" s="572">
        <v>10</v>
      </c>
      <c r="H74" s="572" t="s">
        <v>2</v>
      </c>
      <c r="I74" s="572">
        <f>G74</f>
        <v>10</v>
      </c>
      <c r="J74" s="572" t="s">
        <v>2</v>
      </c>
      <c r="K74" s="572">
        <v>1</v>
      </c>
      <c r="L74" s="570"/>
      <c r="M74" t="s">
        <v>3</v>
      </c>
      <c r="N74" s="120">
        <f>C74*E74*G74*I74*K74</f>
        <v>78.5</v>
      </c>
      <c r="O74" t="s">
        <v>18</v>
      </c>
    </row>
    <row r="75" spans="1:18">
      <c r="C75" s="570"/>
      <c r="D75" s="570"/>
      <c r="E75" s="570"/>
      <c r="F75" s="570"/>
      <c r="G75" s="570"/>
      <c r="H75" s="570"/>
      <c r="I75" s="570"/>
      <c r="J75" s="570"/>
      <c r="K75" s="570"/>
      <c r="L75" s="570"/>
      <c r="N75" s="583">
        <f>SUM(N74:N74)</f>
        <v>78.5</v>
      </c>
      <c r="O75" s="16"/>
    </row>
    <row r="76" spans="1:18">
      <c r="B76" s="56">
        <f>N75</f>
        <v>78.5</v>
      </c>
      <c r="C76" s="666" t="s">
        <v>167</v>
      </c>
      <c r="D76" s="570"/>
      <c r="E76" s="570"/>
      <c r="F76" s="570"/>
      <c r="G76" s="570"/>
      <c r="H76" s="570"/>
      <c r="I76" s="570"/>
      <c r="J76" s="570"/>
      <c r="K76" s="570"/>
      <c r="L76" s="570"/>
      <c r="M76" s="573" t="str">
        <f>M71</f>
        <v>Rs</v>
      </c>
      <c r="N76" s="13">
        <v>14429.25</v>
      </c>
      <c r="O76" s="19" t="str">
        <f>O71</f>
        <v>P% Cft</v>
      </c>
      <c r="P76" s="571" t="s">
        <v>16</v>
      </c>
      <c r="Q76" s="10">
        <f>B76*N76/100</f>
        <v>11326.96125</v>
      </c>
    </row>
    <row r="77" spans="1:18">
      <c r="C77" s="570"/>
      <c r="D77" s="570"/>
      <c r="E77" s="570"/>
      <c r="F77" s="570"/>
      <c r="G77" s="570"/>
      <c r="H77" s="570"/>
      <c r="I77" s="570"/>
      <c r="J77" s="570"/>
      <c r="K77" s="570"/>
      <c r="L77" s="570"/>
      <c r="N77" s="571"/>
      <c r="O77" s="574"/>
      <c r="P77" s="19"/>
      <c r="Q77" s="571"/>
      <c r="R77" s="574"/>
    </row>
    <row r="78" spans="1:18" ht="15.75">
      <c r="A78" s="570">
        <v>7</v>
      </c>
      <c r="B78" s="21" t="s">
        <v>71</v>
      </c>
      <c r="C78" s="570"/>
      <c r="D78" s="570"/>
      <c r="E78" s="570"/>
      <c r="F78" s="570"/>
      <c r="G78" s="570"/>
      <c r="H78" s="570"/>
      <c r="I78" s="570"/>
      <c r="J78" s="570"/>
      <c r="K78" s="570"/>
      <c r="L78" s="570"/>
      <c r="N78" s="571"/>
      <c r="O78" s="574"/>
      <c r="P78" s="19"/>
      <c r="Q78" s="571"/>
      <c r="R78" s="574"/>
    </row>
    <row r="79" spans="1:18" ht="15.75">
      <c r="B79" s="21" t="s">
        <v>125</v>
      </c>
      <c r="C79" s="570"/>
      <c r="D79" s="570"/>
      <c r="E79" s="570"/>
      <c r="F79" s="570"/>
      <c r="G79" s="570"/>
      <c r="H79" s="570"/>
      <c r="I79" s="570"/>
      <c r="J79" s="570"/>
      <c r="K79" s="570"/>
      <c r="L79" s="570"/>
      <c r="N79" s="571"/>
      <c r="O79" s="574"/>
      <c r="P79" s="19"/>
      <c r="Q79" s="571"/>
      <c r="R79" s="574"/>
    </row>
    <row r="80" spans="1:18">
      <c r="B80" s="16" t="s">
        <v>72</v>
      </c>
      <c r="C80" s="570"/>
      <c r="D80" s="570"/>
      <c r="E80" s="570"/>
      <c r="F80" s="570"/>
      <c r="G80" s="570"/>
      <c r="H80" s="570"/>
      <c r="I80" s="570"/>
      <c r="J80" s="570"/>
      <c r="K80" s="570"/>
      <c r="L80" s="570"/>
      <c r="N80" s="571"/>
      <c r="O80" s="574"/>
      <c r="P80" s="19"/>
      <c r="Q80" s="571"/>
      <c r="R80" s="574"/>
    </row>
    <row r="81" spans="1:18" s="193" customFormat="1" ht="14.25">
      <c r="B81" s="194" t="s">
        <v>211</v>
      </c>
      <c r="C81" s="195">
        <f>C6</f>
        <v>1</v>
      </c>
      <c r="D81" s="195" t="s">
        <v>2</v>
      </c>
      <c r="E81" s="195">
        <v>0.78500000000000003</v>
      </c>
      <c r="F81" s="195" t="s">
        <v>2</v>
      </c>
      <c r="G81" s="196">
        <v>10</v>
      </c>
      <c r="H81" s="196" t="s">
        <v>2</v>
      </c>
      <c r="I81" s="196">
        <f>G81</f>
        <v>10</v>
      </c>
      <c r="J81" s="196" t="s">
        <v>2</v>
      </c>
      <c r="K81" s="196">
        <v>8</v>
      </c>
      <c r="L81" s="195"/>
      <c r="M81" s="193" t="s">
        <v>3</v>
      </c>
      <c r="N81" s="197">
        <f>K81*I81*G81*E81*C81</f>
        <v>628</v>
      </c>
      <c r="O81" s="198" t="s">
        <v>18</v>
      </c>
      <c r="P81" s="199"/>
      <c r="Q81" s="200"/>
      <c r="R81" s="198"/>
    </row>
    <row r="82" spans="1:18">
      <c r="B82" s="16" t="s">
        <v>73</v>
      </c>
      <c r="C82" s="570"/>
      <c r="D82" s="570"/>
      <c r="E82" s="570"/>
      <c r="F82" s="570"/>
      <c r="G82" s="572"/>
      <c r="H82" s="572"/>
      <c r="I82" s="572"/>
      <c r="J82" s="572"/>
      <c r="K82" s="572"/>
      <c r="L82" s="570"/>
      <c r="N82" s="571"/>
      <c r="O82" s="574"/>
      <c r="P82" s="19"/>
      <c r="Q82" s="571"/>
      <c r="R82" s="574"/>
    </row>
    <row r="83" spans="1:18" ht="14.25">
      <c r="B83" s="123" t="s">
        <v>211</v>
      </c>
      <c r="C83" s="570">
        <f>C81</f>
        <v>1</v>
      </c>
      <c r="D83" s="570" t="s">
        <v>2</v>
      </c>
      <c r="E83" s="570">
        <v>0.78500000000000003</v>
      </c>
      <c r="F83" s="570" t="s">
        <v>2</v>
      </c>
      <c r="G83" s="572">
        <v>10</v>
      </c>
      <c r="H83" s="572" t="s">
        <v>2</v>
      </c>
      <c r="I83" s="572">
        <f>G83</f>
        <v>10</v>
      </c>
      <c r="J83" s="572" t="s">
        <v>2</v>
      </c>
      <c r="K83" s="572">
        <v>4</v>
      </c>
      <c r="L83" s="570"/>
      <c r="M83" t="s">
        <v>3</v>
      </c>
      <c r="N83" s="159">
        <f>K83*I83*G83*E83*C83</f>
        <v>314</v>
      </c>
      <c r="O83" s="574" t="s">
        <v>18</v>
      </c>
      <c r="P83" s="19"/>
      <c r="Q83" s="571"/>
      <c r="R83" s="574"/>
    </row>
    <row r="84" spans="1:18">
      <c r="C84" s="570"/>
      <c r="D84" s="570"/>
      <c r="E84" s="570"/>
      <c r="F84" s="570"/>
      <c r="G84" s="570"/>
      <c r="H84" s="570"/>
      <c r="I84" s="570"/>
      <c r="J84" s="570"/>
      <c r="K84" s="570"/>
      <c r="L84" s="570"/>
      <c r="N84" s="585">
        <f>SUM(N81:N83)</f>
        <v>942</v>
      </c>
      <c r="O84" s="587" t="s">
        <v>18</v>
      </c>
      <c r="P84" s="19"/>
      <c r="Q84" s="571"/>
      <c r="R84" s="574"/>
    </row>
    <row r="85" spans="1:18">
      <c r="B85" s="56">
        <f>N84</f>
        <v>942</v>
      </c>
      <c r="C85" s="570" t="str">
        <f>O84</f>
        <v>Cft.</v>
      </c>
      <c r="D85" s="570"/>
      <c r="E85" s="570"/>
      <c r="F85" s="570"/>
      <c r="G85" s="570"/>
      <c r="H85" s="570"/>
      <c r="I85" s="570"/>
      <c r="J85" s="570"/>
      <c r="K85" s="570"/>
      <c r="L85" s="570"/>
      <c r="M85" s="583" t="s">
        <v>17</v>
      </c>
      <c r="N85" s="592">
        <v>543</v>
      </c>
      <c r="O85" s="19" t="s">
        <v>12</v>
      </c>
      <c r="P85" s="571" t="s">
        <v>16</v>
      </c>
      <c r="Q85" s="10">
        <f>N85*B85/100</f>
        <v>5115.0600000000004</v>
      </c>
      <c r="R85" s="574"/>
    </row>
    <row r="86" spans="1:18" ht="15.75">
      <c r="A86" s="570">
        <v>8</v>
      </c>
      <c r="B86" s="21" t="s">
        <v>74</v>
      </c>
      <c r="C86" s="570"/>
      <c r="D86" s="570"/>
      <c r="E86" s="570"/>
      <c r="F86" s="570"/>
      <c r="G86" s="570"/>
      <c r="H86" s="570"/>
      <c r="I86" s="570"/>
      <c r="J86" s="570"/>
      <c r="K86" s="570"/>
      <c r="L86" s="570"/>
      <c r="N86" s="573"/>
      <c r="O86" s="574"/>
      <c r="P86" s="19"/>
      <c r="Q86" s="571"/>
      <c r="R86" s="574"/>
    </row>
    <row r="87" spans="1:18" ht="15.75">
      <c r="A87" s="570"/>
      <c r="B87" s="21" t="s">
        <v>75</v>
      </c>
      <c r="C87" s="570"/>
      <c r="D87" s="570"/>
      <c r="E87" s="570"/>
      <c r="F87" s="570"/>
      <c r="G87" s="570"/>
      <c r="H87" s="570"/>
      <c r="I87" s="570"/>
      <c r="J87" s="570"/>
      <c r="K87" s="570"/>
      <c r="L87" s="570"/>
      <c r="N87" s="573"/>
      <c r="O87" s="574"/>
      <c r="P87" s="19"/>
      <c r="Q87" s="571"/>
      <c r="R87" s="574"/>
    </row>
    <row r="88" spans="1:18" ht="15.75">
      <c r="A88" s="570"/>
      <c r="B88" s="21" t="s">
        <v>126</v>
      </c>
      <c r="C88" s="570"/>
      <c r="D88" s="570"/>
      <c r="E88" s="570"/>
      <c r="F88" s="570"/>
      <c r="G88" s="570"/>
      <c r="H88" s="570"/>
      <c r="I88" s="570"/>
      <c r="J88" s="570"/>
      <c r="K88" s="570"/>
      <c r="L88" s="570"/>
      <c r="N88" s="573"/>
      <c r="O88" s="574"/>
      <c r="P88" s="19"/>
      <c r="Q88" s="571"/>
      <c r="R88" s="574"/>
    </row>
    <row r="89" spans="1:18" ht="14.25">
      <c r="A89" s="570"/>
      <c r="B89" s="123" t="s">
        <v>211</v>
      </c>
      <c r="C89" s="570">
        <f>C83</f>
        <v>1</v>
      </c>
      <c r="D89" s="589" t="s">
        <v>2</v>
      </c>
      <c r="E89" s="584">
        <v>2</v>
      </c>
      <c r="F89" s="570" t="s">
        <v>2</v>
      </c>
      <c r="G89" s="570">
        <v>3.14</v>
      </c>
      <c r="H89" s="570" t="s">
        <v>2</v>
      </c>
      <c r="I89" s="572">
        <v>11</v>
      </c>
      <c r="J89" s="570" t="s">
        <v>15</v>
      </c>
      <c r="K89" s="570" t="s">
        <v>15</v>
      </c>
      <c r="L89" s="570" t="s">
        <v>15</v>
      </c>
      <c r="M89" t="s">
        <v>3</v>
      </c>
      <c r="N89" s="120">
        <f t="shared" ref="N89" si="0">I89*G89*E89*C89</f>
        <v>69.08</v>
      </c>
      <c r="O89" s="574" t="s">
        <v>69</v>
      </c>
      <c r="P89" s="19"/>
      <c r="Q89" s="571"/>
      <c r="R89" s="574"/>
    </row>
    <row r="90" spans="1:18" ht="15.75">
      <c r="A90" s="570"/>
      <c r="B90" s="21"/>
      <c r="C90" s="570"/>
      <c r="D90" s="570"/>
      <c r="E90" s="570"/>
      <c r="F90" s="570"/>
      <c r="G90" s="570"/>
      <c r="H90" s="570"/>
      <c r="I90" s="570"/>
      <c r="J90" s="570"/>
      <c r="K90" s="570"/>
      <c r="L90" s="570"/>
      <c r="N90" s="573">
        <f>N89</f>
        <v>69.08</v>
      </c>
      <c r="O90" s="25" t="s">
        <v>69</v>
      </c>
      <c r="P90" s="19"/>
      <c r="Q90" s="571"/>
      <c r="R90" s="574"/>
    </row>
    <row r="91" spans="1:18">
      <c r="A91" s="570"/>
      <c r="B91" s="56">
        <f>N90</f>
        <v>69.08</v>
      </c>
      <c r="C91" s="589" t="s">
        <v>180</v>
      </c>
      <c r="D91" s="570"/>
      <c r="E91" s="570"/>
      <c r="F91" s="570"/>
      <c r="G91" s="570"/>
      <c r="H91" s="570"/>
      <c r="I91" s="570"/>
      <c r="J91" s="570"/>
      <c r="K91" s="570"/>
      <c r="L91" s="570"/>
      <c r="M91" s="573" t="str">
        <f>M85</f>
        <v xml:space="preserve"> @Rs:</v>
      </c>
      <c r="N91" s="13">
        <v>86</v>
      </c>
      <c r="O91" s="19" t="s">
        <v>70</v>
      </c>
      <c r="P91" s="571" t="s">
        <v>16</v>
      </c>
      <c r="Q91" s="10">
        <f>N91*B91</f>
        <v>5940.88</v>
      </c>
      <c r="R91" s="574"/>
    </row>
    <row r="92" spans="1:18" ht="15.75">
      <c r="A92" s="570">
        <v>9</v>
      </c>
      <c r="B92" s="21" t="s">
        <v>76</v>
      </c>
      <c r="C92" s="570"/>
      <c r="D92" s="570"/>
      <c r="E92" s="570"/>
      <c r="F92" s="570"/>
      <c r="G92" s="570"/>
      <c r="H92" s="570"/>
      <c r="I92" s="570"/>
      <c r="J92" s="570"/>
      <c r="K92" s="570"/>
      <c r="L92" s="570"/>
      <c r="N92" s="571"/>
      <c r="O92" s="574"/>
      <c r="P92" s="19"/>
      <c r="Q92" s="571"/>
      <c r="R92" s="574"/>
    </row>
    <row r="93" spans="1:18" ht="15.75">
      <c r="B93" s="21" t="s">
        <v>77</v>
      </c>
      <c r="C93" s="570"/>
      <c r="D93" s="570"/>
      <c r="E93" s="570"/>
      <c r="F93" s="570"/>
      <c r="G93" s="570"/>
      <c r="H93" s="570"/>
      <c r="I93" s="570"/>
      <c r="J93" s="570"/>
      <c r="K93" s="570"/>
      <c r="L93" s="570"/>
      <c r="N93" s="571"/>
      <c r="O93" s="574"/>
      <c r="P93" s="19"/>
      <c r="Q93" s="571"/>
      <c r="R93" s="574"/>
    </row>
    <row r="94" spans="1:18" ht="15.75">
      <c r="B94" s="21" t="s">
        <v>127</v>
      </c>
      <c r="C94" s="570"/>
      <c r="D94" s="570"/>
      <c r="E94" s="570"/>
      <c r="F94" s="570"/>
      <c r="G94" s="570"/>
      <c r="H94" s="570"/>
      <c r="I94" s="570"/>
      <c r="J94" s="570"/>
      <c r="K94" s="570"/>
      <c r="L94" s="570"/>
      <c r="N94" s="571"/>
      <c r="O94" s="574"/>
      <c r="P94" s="19"/>
      <c r="Q94" s="571"/>
      <c r="R94" s="574"/>
    </row>
    <row r="95" spans="1:18">
      <c r="B95" s="133" t="s">
        <v>212</v>
      </c>
      <c r="C95" s="570">
        <v>1</v>
      </c>
      <c r="D95" s="570" t="s">
        <v>2</v>
      </c>
      <c r="E95" s="569">
        <v>2.5</v>
      </c>
      <c r="F95" s="570"/>
      <c r="G95" s="570"/>
      <c r="H95" s="570"/>
      <c r="I95" s="570"/>
      <c r="J95" s="570"/>
      <c r="K95" s="570"/>
      <c r="L95" s="570"/>
      <c r="M95" s="18" t="s">
        <v>3</v>
      </c>
      <c r="N95" s="125">
        <f>E95*C95</f>
        <v>2.5</v>
      </c>
      <c r="O95" s="201" t="s">
        <v>9</v>
      </c>
      <c r="P95" s="19"/>
      <c r="Q95" s="571"/>
      <c r="R95" s="574"/>
    </row>
    <row r="96" spans="1:18">
      <c r="C96" s="570"/>
      <c r="D96" s="570"/>
      <c r="E96" s="569"/>
      <c r="F96" s="570"/>
      <c r="G96" s="570"/>
      <c r="H96" s="570"/>
      <c r="I96" s="570"/>
      <c r="J96" s="570"/>
      <c r="K96" s="570"/>
      <c r="L96" s="570"/>
      <c r="M96" s="18"/>
      <c r="N96" s="233">
        <f>SUM(N95:N95)</f>
        <v>2.5</v>
      </c>
      <c r="O96" s="201" t="s">
        <v>9</v>
      </c>
      <c r="P96" s="19"/>
      <c r="Q96" s="571"/>
      <c r="R96" s="574"/>
    </row>
    <row r="97" spans="1:18">
      <c r="B97" s="56">
        <f>N96</f>
        <v>2.5</v>
      </c>
      <c r="C97" s="589" t="s">
        <v>184</v>
      </c>
      <c r="D97" s="570"/>
      <c r="E97" s="570"/>
      <c r="F97" s="570"/>
      <c r="G97" s="570"/>
      <c r="H97" s="570"/>
      <c r="I97" s="570"/>
      <c r="J97" s="570"/>
      <c r="K97" s="570"/>
      <c r="L97" s="124" t="s">
        <v>178</v>
      </c>
      <c r="M97" s="583" t="s">
        <v>5</v>
      </c>
      <c r="N97" s="574">
        <v>4928.49</v>
      </c>
      <c r="O97" s="19" t="s">
        <v>60</v>
      </c>
      <c r="P97" s="571" t="s">
        <v>16</v>
      </c>
      <c r="Q97" s="10">
        <f>N97*B97</f>
        <v>12321.224999999999</v>
      </c>
    </row>
    <row r="98" spans="1:18" ht="15.75">
      <c r="A98" s="570">
        <v>10</v>
      </c>
      <c r="B98" s="7" t="s">
        <v>78</v>
      </c>
      <c r="C98" s="570"/>
      <c r="D98" s="570"/>
      <c r="E98" s="570"/>
      <c r="F98" s="570"/>
      <c r="G98" s="570"/>
      <c r="H98" s="570"/>
      <c r="I98" s="570"/>
      <c r="J98" s="570"/>
      <c r="K98" s="570"/>
      <c r="L98" s="570"/>
      <c r="N98" s="571"/>
      <c r="O98" s="574"/>
      <c r="P98" s="19"/>
      <c r="Q98" s="571"/>
      <c r="R98" s="574"/>
    </row>
    <row r="99" spans="1:18" ht="15.75">
      <c r="A99" s="570"/>
      <c r="B99" s="7" t="s">
        <v>128</v>
      </c>
      <c r="C99" s="570"/>
      <c r="D99" s="570"/>
      <c r="E99" s="570"/>
      <c r="F99" s="570"/>
      <c r="G99" s="570"/>
      <c r="H99" s="570"/>
      <c r="I99" s="570"/>
      <c r="J99" s="570"/>
      <c r="K99" s="570"/>
      <c r="L99" s="570"/>
      <c r="N99" s="571"/>
      <c r="O99" s="574"/>
      <c r="P99" s="19"/>
      <c r="Q99" s="571"/>
      <c r="R99" s="574"/>
    </row>
    <row r="100" spans="1:18">
      <c r="A100" s="570"/>
      <c r="B100" s="56">
        <f>B97</f>
        <v>2.5</v>
      </c>
      <c r="C100" s="570" t="str">
        <f>C97</f>
        <v>cwt</v>
      </c>
      <c r="D100" s="570"/>
      <c r="E100" s="570"/>
      <c r="F100" s="570"/>
      <c r="G100" s="570"/>
      <c r="H100" s="570"/>
      <c r="I100" s="570"/>
      <c r="J100" s="570"/>
      <c r="K100" s="570"/>
      <c r="L100" s="124" t="s">
        <v>178</v>
      </c>
      <c r="M100" s="573" t="str">
        <f>M97</f>
        <v>Rs</v>
      </c>
      <c r="N100" s="574">
        <v>271.04000000000002</v>
      </c>
      <c r="O100" s="19" t="s">
        <v>60</v>
      </c>
      <c r="P100" s="571" t="s">
        <v>16</v>
      </c>
      <c r="Q100" s="10">
        <f>N100*B100</f>
        <v>677.6</v>
      </c>
    </row>
    <row r="101" spans="1:18">
      <c r="A101" s="666"/>
      <c r="B101" s="56"/>
      <c r="C101" s="666"/>
      <c r="D101" s="666"/>
      <c r="E101" s="666"/>
      <c r="F101" s="666"/>
      <c r="G101" s="666"/>
      <c r="H101" s="666"/>
      <c r="I101" s="666"/>
      <c r="J101" s="666"/>
      <c r="K101" s="666"/>
      <c r="L101" s="124"/>
      <c r="M101" s="668"/>
      <c r="N101" s="669"/>
      <c r="O101" s="19"/>
      <c r="P101" s="667"/>
      <c r="Q101" s="10"/>
    </row>
    <row r="102" spans="1:18">
      <c r="A102" s="666"/>
      <c r="B102" s="56"/>
      <c r="C102" s="666"/>
      <c r="D102" s="666"/>
      <c r="E102" s="666"/>
      <c r="F102" s="666"/>
      <c r="G102" s="666"/>
      <c r="H102" s="666"/>
      <c r="I102" s="666"/>
      <c r="J102" s="666"/>
      <c r="K102" s="666"/>
      <c r="L102" s="124"/>
      <c r="M102" s="668"/>
      <c r="N102" s="669"/>
      <c r="O102" s="19"/>
      <c r="P102" s="667"/>
      <c r="Q102" s="10"/>
    </row>
    <row r="103" spans="1:18" ht="15.75">
      <c r="A103" s="570">
        <v>11</v>
      </c>
      <c r="B103" s="7" t="s">
        <v>79</v>
      </c>
      <c r="C103" s="570"/>
      <c r="D103" s="570"/>
      <c r="E103" s="570"/>
      <c r="F103" s="570"/>
      <c r="G103" s="570"/>
      <c r="H103" s="570"/>
      <c r="I103" s="570"/>
      <c r="J103" s="570"/>
      <c r="K103" s="570"/>
      <c r="L103" s="570"/>
      <c r="N103" s="571"/>
      <c r="O103" s="574"/>
      <c r="P103" s="19"/>
      <c r="Q103" s="571"/>
      <c r="R103" s="574"/>
    </row>
    <row r="104" spans="1:18" ht="15.75">
      <c r="A104" s="570"/>
      <c r="B104" s="7" t="s">
        <v>80</v>
      </c>
      <c r="C104" s="570"/>
      <c r="D104" s="570"/>
      <c r="E104" s="570"/>
      <c r="F104" s="570"/>
      <c r="G104" s="570"/>
      <c r="H104" s="570"/>
      <c r="I104" s="570"/>
      <c r="J104" s="570"/>
      <c r="K104" s="570"/>
      <c r="L104" s="570"/>
      <c r="N104" s="571"/>
      <c r="O104" s="574"/>
      <c r="P104" s="19"/>
      <c r="Q104" s="571"/>
      <c r="R104" s="574"/>
    </row>
    <row r="105" spans="1:18" ht="15.75">
      <c r="A105" s="570"/>
      <c r="B105" s="7" t="s">
        <v>81</v>
      </c>
      <c r="C105" s="570"/>
      <c r="D105" s="570"/>
      <c r="E105" s="570"/>
      <c r="F105" s="570"/>
      <c r="G105" s="570"/>
      <c r="H105" s="570"/>
      <c r="I105" s="570"/>
      <c r="J105" s="570"/>
      <c r="K105" s="570"/>
      <c r="L105" s="570"/>
      <c r="N105" s="571"/>
      <c r="O105" s="574"/>
      <c r="P105" s="19"/>
      <c r="Q105" s="571"/>
      <c r="R105" s="574"/>
    </row>
    <row r="106" spans="1:18" ht="15.75">
      <c r="A106" s="570"/>
      <c r="B106" s="7" t="s">
        <v>82</v>
      </c>
      <c r="C106" s="570"/>
      <c r="D106" s="570"/>
      <c r="E106" s="570"/>
      <c r="F106" s="570"/>
      <c r="G106" s="570"/>
      <c r="H106" s="570"/>
      <c r="I106" s="570"/>
      <c r="J106" s="570"/>
      <c r="K106" s="570"/>
      <c r="L106" s="570"/>
      <c r="N106" s="571"/>
      <c r="O106" s="574"/>
      <c r="P106" s="19"/>
      <c r="Q106" s="571"/>
      <c r="R106" s="574"/>
    </row>
    <row r="107" spans="1:18" ht="15.75">
      <c r="A107" s="570"/>
      <c r="B107" s="7" t="s">
        <v>83</v>
      </c>
      <c r="C107" s="570"/>
      <c r="D107" s="570"/>
      <c r="E107" s="570"/>
      <c r="F107" s="570"/>
      <c r="G107" s="570"/>
      <c r="H107" s="570"/>
      <c r="I107" s="570"/>
      <c r="J107" s="570"/>
      <c r="K107" s="570"/>
      <c r="L107" s="570"/>
      <c r="N107" s="571"/>
      <c r="O107" s="574"/>
      <c r="P107" s="19"/>
      <c r="Q107" s="571"/>
      <c r="R107" s="574"/>
    </row>
    <row r="108" spans="1:18" ht="15.75">
      <c r="A108" s="570"/>
      <c r="B108" s="7" t="s">
        <v>84</v>
      </c>
      <c r="C108" s="570"/>
      <c r="D108" s="570"/>
      <c r="E108" s="570"/>
      <c r="F108" s="570"/>
      <c r="G108" s="570"/>
      <c r="H108" s="570"/>
      <c r="I108" s="570"/>
      <c r="J108" s="570"/>
      <c r="K108" s="570"/>
      <c r="L108" s="570"/>
      <c r="N108" s="571"/>
      <c r="O108" s="574"/>
      <c r="P108" s="19"/>
      <c r="Q108" s="571"/>
      <c r="R108" s="574"/>
    </row>
    <row r="109" spans="1:18" ht="15.75">
      <c r="A109" s="570"/>
      <c r="B109" s="7" t="s">
        <v>129</v>
      </c>
      <c r="C109" s="570"/>
      <c r="D109" s="570"/>
      <c r="E109" s="570"/>
      <c r="F109" s="570"/>
      <c r="G109" s="570"/>
      <c r="H109" s="570"/>
      <c r="I109" s="570"/>
      <c r="J109" s="570"/>
      <c r="K109" s="570"/>
      <c r="L109" s="570"/>
      <c r="N109" s="571"/>
      <c r="O109" s="574"/>
      <c r="P109" s="19"/>
      <c r="Q109" s="571"/>
      <c r="R109" s="574"/>
    </row>
    <row r="110" spans="1:18">
      <c r="A110" s="570"/>
      <c r="B110" s="60" t="s">
        <v>85</v>
      </c>
      <c r="C110" s="570"/>
      <c r="D110" s="570"/>
      <c r="E110" s="572"/>
      <c r="F110" s="572"/>
      <c r="G110" s="572"/>
      <c r="H110" s="572"/>
      <c r="I110" s="572"/>
      <c r="J110" s="570"/>
      <c r="K110" s="570"/>
      <c r="L110" s="570"/>
      <c r="N110" s="136"/>
      <c r="O110" s="574"/>
      <c r="P110" s="19"/>
      <c r="Q110" s="571"/>
      <c r="R110" s="574"/>
    </row>
    <row r="111" spans="1:18">
      <c r="A111" s="570"/>
      <c r="B111" s="189" t="s">
        <v>193</v>
      </c>
      <c r="C111" s="570">
        <v>1</v>
      </c>
      <c r="D111" s="570" t="s">
        <v>2</v>
      </c>
      <c r="E111" s="572">
        <v>14</v>
      </c>
      <c r="F111" s="570" t="s">
        <v>2</v>
      </c>
      <c r="G111" s="572">
        <v>4</v>
      </c>
      <c r="H111" s="572" t="s">
        <v>2</v>
      </c>
      <c r="I111" s="572">
        <v>5</v>
      </c>
      <c r="J111" s="570" t="s">
        <v>15</v>
      </c>
      <c r="K111" s="570"/>
      <c r="L111" s="570"/>
      <c r="M111" t="s">
        <v>3</v>
      </c>
      <c r="N111" s="136">
        <f>I111*G111*E111*C111</f>
        <v>280</v>
      </c>
      <c r="O111" s="574" t="s">
        <v>18</v>
      </c>
      <c r="P111" s="19"/>
      <c r="Q111" s="571"/>
      <c r="R111" s="574"/>
    </row>
    <row r="112" spans="1:18">
      <c r="A112" s="570"/>
      <c r="B112" s="189" t="s">
        <v>194</v>
      </c>
      <c r="C112" s="570">
        <v>1</v>
      </c>
      <c r="D112" s="570" t="s">
        <v>2</v>
      </c>
      <c r="E112" s="572">
        <f>E111</f>
        <v>14</v>
      </c>
      <c r="F112" s="570" t="s">
        <v>2</v>
      </c>
      <c r="G112" s="569">
        <v>3.5</v>
      </c>
      <c r="H112" s="572" t="s">
        <v>2</v>
      </c>
      <c r="I112" s="572">
        <v>5</v>
      </c>
      <c r="J112" s="570" t="s">
        <v>15</v>
      </c>
      <c r="K112" s="570"/>
      <c r="L112" s="570"/>
      <c r="M112" t="s">
        <v>3</v>
      </c>
      <c r="N112" s="136">
        <f t="shared" ref="N112" si="1">I112*G112*E112*C112</f>
        <v>245</v>
      </c>
      <c r="O112" s="574" t="s">
        <v>18</v>
      </c>
      <c r="P112" s="19"/>
      <c r="Q112" s="571"/>
      <c r="R112" s="574"/>
    </row>
    <row r="113" spans="1:18">
      <c r="A113" s="570"/>
      <c r="B113" s="60"/>
      <c r="C113" s="570"/>
      <c r="D113" s="570"/>
      <c r="E113" s="572"/>
      <c r="F113" s="570"/>
      <c r="G113" s="572"/>
      <c r="H113" s="572"/>
      <c r="I113" s="572"/>
      <c r="J113" s="570"/>
      <c r="K113" s="570"/>
      <c r="L113" s="570"/>
      <c r="N113" s="590">
        <f>SUM(N111:N112)</f>
        <v>525</v>
      </c>
      <c r="O113" s="25" t="s">
        <v>18</v>
      </c>
      <c r="P113" s="19"/>
      <c r="Q113" s="571"/>
      <c r="R113" s="574"/>
    </row>
    <row r="114" spans="1:18">
      <c r="A114" s="570"/>
      <c r="B114" s="56">
        <f>N113</f>
        <v>525</v>
      </c>
      <c r="C114" s="570" t="s">
        <v>167</v>
      </c>
      <c r="D114" s="570"/>
      <c r="E114" s="570"/>
      <c r="F114" s="570"/>
      <c r="G114" s="570"/>
      <c r="H114" s="570"/>
      <c r="I114" s="570"/>
      <c r="J114" s="570"/>
      <c r="K114" s="570"/>
      <c r="L114" s="124" t="s">
        <v>178</v>
      </c>
      <c r="M114" s="573" t="str">
        <f>M100</f>
        <v>Rs</v>
      </c>
      <c r="N114" s="592">
        <v>3600</v>
      </c>
      <c r="O114" s="19" t="s">
        <v>86</v>
      </c>
      <c r="P114" s="571" t="s">
        <v>16</v>
      </c>
      <c r="Q114" s="10">
        <f>N114*B114/1000</f>
        <v>1890</v>
      </c>
    </row>
    <row r="115" spans="1:18">
      <c r="A115" s="570"/>
      <c r="B115" s="56"/>
      <c r="C115" s="570"/>
      <c r="D115" s="570"/>
      <c r="E115" s="570"/>
      <c r="F115" s="570"/>
      <c r="G115" s="570"/>
      <c r="H115" s="570"/>
      <c r="I115" s="570"/>
      <c r="J115" s="570"/>
      <c r="K115" s="570"/>
      <c r="L115" s="570"/>
      <c r="M115" s="573"/>
      <c r="N115" s="574"/>
      <c r="O115" s="19"/>
      <c r="P115" s="571"/>
      <c r="Q115" s="10"/>
    </row>
    <row r="116" spans="1:18" ht="15.75">
      <c r="A116" s="570">
        <v>12</v>
      </c>
      <c r="B116" s="7" t="s">
        <v>87</v>
      </c>
      <c r="C116" s="570"/>
      <c r="D116" s="570"/>
      <c r="E116" s="570"/>
      <c r="F116" s="570"/>
      <c r="G116" s="570"/>
      <c r="H116" s="570"/>
      <c r="I116" s="570"/>
      <c r="J116" s="570"/>
      <c r="K116" s="570"/>
      <c r="L116" s="570"/>
      <c r="N116" s="571"/>
      <c r="O116" s="574"/>
      <c r="P116" s="19"/>
      <c r="Q116" s="571"/>
      <c r="R116" s="574"/>
    </row>
    <row r="117" spans="1:18" ht="15.75">
      <c r="A117" s="570"/>
      <c r="B117" s="7" t="s">
        <v>80</v>
      </c>
      <c r="C117" s="570"/>
      <c r="D117" s="570"/>
      <c r="E117" s="570"/>
      <c r="F117" s="570"/>
      <c r="G117" s="570"/>
      <c r="H117" s="570"/>
      <c r="I117" s="570"/>
      <c r="J117" s="570"/>
      <c r="K117" s="570"/>
      <c r="L117" s="570"/>
      <c r="N117" s="571"/>
      <c r="O117" s="574"/>
      <c r="P117" s="19"/>
      <c r="Q117" s="571"/>
      <c r="R117" s="574"/>
    </row>
    <row r="118" spans="1:18" ht="15.75">
      <c r="A118" s="570"/>
      <c r="B118" s="7" t="s">
        <v>81</v>
      </c>
      <c r="C118" s="570"/>
      <c r="D118" s="570"/>
      <c r="E118" s="570"/>
      <c r="F118" s="570"/>
      <c r="G118" s="570"/>
      <c r="H118" s="570"/>
      <c r="I118" s="570"/>
      <c r="J118" s="570"/>
      <c r="K118" s="570"/>
      <c r="L118" s="570"/>
      <c r="N118" s="571"/>
      <c r="O118" s="574"/>
      <c r="P118" s="19"/>
      <c r="Q118" s="571"/>
      <c r="R118" s="574"/>
    </row>
    <row r="119" spans="1:18" ht="15.75">
      <c r="A119" s="570"/>
      <c r="B119" s="7" t="s">
        <v>82</v>
      </c>
      <c r="C119" s="570"/>
      <c r="D119" s="570"/>
      <c r="E119" s="570"/>
      <c r="F119" s="570"/>
      <c r="G119" s="570"/>
      <c r="H119" s="570"/>
      <c r="I119" s="570"/>
      <c r="J119" s="570"/>
      <c r="K119" s="570"/>
      <c r="L119" s="570"/>
      <c r="N119" s="571"/>
      <c r="O119" s="574"/>
      <c r="P119" s="19"/>
      <c r="Q119" s="571"/>
      <c r="R119" s="574"/>
    </row>
    <row r="120" spans="1:18" ht="15.75">
      <c r="A120" s="570"/>
      <c r="B120" s="7" t="s">
        <v>83</v>
      </c>
      <c r="C120" s="570"/>
      <c r="D120" s="570"/>
      <c r="E120" s="570"/>
      <c r="F120" s="570"/>
      <c r="G120" s="570"/>
      <c r="H120" s="570"/>
      <c r="I120" s="570"/>
      <c r="J120" s="570"/>
      <c r="K120" s="570"/>
      <c r="L120" s="570"/>
      <c r="N120" s="571"/>
      <c r="O120" s="574"/>
      <c r="P120" s="19"/>
      <c r="Q120" s="571"/>
      <c r="R120" s="574"/>
    </row>
    <row r="121" spans="1:18" ht="15.75">
      <c r="A121" s="570"/>
      <c r="B121" s="7" t="s">
        <v>84</v>
      </c>
      <c r="C121" s="570"/>
      <c r="D121" s="570"/>
      <c r="E121" s="570"/>
      <c r="F121" s="570"/>
      <c r="G121" s="570"/>
      <c r="H121" s="570"/>
      <c r="I121" s="570"/>
      <c r="J121" s="570"/>
      <c r="K121" s="570"/>
      <c r="L121" s="570"/>
      <c r="N121" s="571"/>
      <c r="O121" s="574"/>
      <c r="P121" s="19"/>
      <c r="Q121" s="571"/>
      <c r="R121" s="574"/>
    </row>
    <row r="122" spans="1:18" ht="15.75">
      <c r="A122" s="570"/>
      <c r="B122" s="7" t="s">
        <v>130</v>
      </c>
      <c r="C122" s="570"/>
      <c r="D122" s="570"/>
      <c r="E122" s="570"/>
      <c r="F122" s="570"/>
      <c r="G122" s="570"/>
      <c r="H122" s="570"/>
      <c r="I122" s="570"/>
      <c r="J122" s="570"/>
      <c r="K122" s="570"/>
      <c r="L122" s="570"/>
      <c r="N122" s="571"/>
      <c r="O122" s="574"/>
      <c r="P122" s="19"/>
      <c r="Q122" s="571"/>
      <c r="R122" s="574"/>
    </row>
    <row r="123" spans="1:18">
      <c r="A123" s="570"/>
      <c r="B123" s="60" t="s">
        <v>88</v>
      </c>
      <c r="C123" s="570"/>
      <c r="D123" s="570"/>
      <c r="E123" s="570"/>
      <c r="F123" s="570"/>
      <c r="G123" s="570"/>
      <c r="H123" s="570"/>
      <c r="I123" s="570"/>
      <c r="J123" s="570"/>
      <c r="K123" s="570"/>
      <c r="L123" s="570"/>
      <c r="N123" s="571"/>
      <c r="O123" s="574"/>
      <c r="P123" s="19"/>
      <c r="Q123" s="571"/>
      <c r="R123" s="574"/>
    </row>
    <row r="124" spans="1:18">
      <c r="A124" s="570"/>
      <c r="B124" s="189" t="s">
        <v>193</v>
      </c>
      <c r="C124" s="570">
        <v>1</v>
      </c>
      <c r="D124" s="570" t="s">
        <v>2</v>
      </c>
      <c r="E124" s="572">
        <v>14</v>
      </c>
      <c r="F124" s="570" t="s">
        <v>2</v>
      </c>
      <c r="G124" s="572">
        <v>4</v>
      </c>
      <c r="H124" s="572" t="s">
        <v>2</v>
      </c>
      <c r="I124" s="572">
        <v>3</v>
      </c>
      <c r="J124" s="570" t="s">
        <v>15</v>
      </c>
      <c r="K124" s="570"/>
      <c r="L124" s="570"/>
      <c r="M124" t="s">
        <v>3</v>
      </c>
      <c r="N124" s="136">
        <f>I124*G124*E124*C124</f>
        <v>168</v>
      </c>
      <c r="O124" s="574" t="s">
        <v>18</v>
      </c>
      <c r="P124" s="19"/>
      <c r="Q124" s="571"/>
      <c r="R124" s="574"/>
    </row>
    <row r="125" spans="1:18">
      <c r="A125" s="570"/>
      <c r="B125" s="189" t="s">
        <v>194</v>
      </c>
      <c r="C125" s="570">
        <v>1</v>
      </c>
      <c r="D125" s="570" t="s">
        <v>2</v>
      </c>
      <c r="E125" s="572">
        <f>E124</f>
        <v>14</v>
      </c>
      <c r="F125" s="570" t="s">
        <v>2</v>
      </c>
      <c r="G125" s="569">
        <v>3.5</v>
      </c>
      <c r="H125" s="572" t="s">
        <v>2</v>
      </c>
      <c r="I125" s="572">
        <v>3</v>
      </c>
      <c r="J125" s="570" t="s">
        <v>15</v>
      </c>
      <c r="K125" s="570"/>
      <c r="L125" s="570"/>
      <c r="M125" t="s">
        <v>3</v>
      </c>
      <c r="N125" s="136">
        <f t="shared" ref="N125" si="2">I125*G125*E125*C125</f>
        <v>147</v>
      </c>
      <c r="O125" s="574" t="s">
        <v>18</v>
      </c>
      <c r="P125" s="19"/>
      <c r="Q125" s="571"/>
      <c r="R125" s="574"/>
    </row>
    <row r="126" spans="1:18">
      <c r="A126" s="570"/>
      <c r="B126" s="60"/>
      <c r="C126" s="570"/>
      <c r="D126" s="570"/>
      <c r="E126" s="572"/>
      <c r="F126" s="570"/>
      <c r="G126" s="572"/>
      <c r="H126" s="572"/>
      <c r="I126" s="572"/>
      <c r="J126" s="570"/>
      <c r="K126" s="570"/>
      <c r="L126" s="570"/>
      <c r="N126" s="590">
        <f>SUM(N124:N125)</f>
        <v>315</v>
      </c>
      <c r="O126" s="25" t="s">
        <v>18</v>
      </c>
      <c r="P126" s="19"/>
      <c r="Q126" s="571"/>
      <c r="R126" s="574"/>
    </row>
    <row r="127" spans="1:18">
      <c r="A127" s="570"/>
      <c r="B127" s="153">
        <f>N126</f>
        <v>315</v>
      </c>
      <c r="C127" s="570" t="str">
        <f>O124</f>
        <v>Cft.</v>
      </c>
      <c r="D127" s="570"/>
      <c r="E127" s="570"/>
      <c r="F127" s="570"/>
      <c r="G127" s="570"/>
      <c r="H127" s="570"/>
      <c r="I127" s="570"/>
      <c r="J127" s="570"/>
      <c r="K127" s="570"/>
      <c r="L127" s="124" t="s">
        <v>178</v>
      </c>
      <c r="M127" s="573" t="str">
        <f>M114</f>
        <v>Rs</v>
      </c>
      <c r="N127" s="592">
        <f>5400+550</f>
        <v>5950</v>
      </c>
      <c r="O127" s="19" t="s">
        <v>86</v>
      </c>
      <c r="P127" s="571" t="s">
        <v>16</v>
      </c>
      <c r="Q127" s="10">
        <f>N127*B127/1000</f>
        <v>1874.25</v>
      </c>
    </row>
    <row r="128" spans="1:18">
      <c r="A128" s="570"/>
      <c r="B128" s="3"/>
      <c r="C128" s="570"/>
      <c r="D128" s="570"/>
      <c r="E128" s="570"/>
      <c r="F128" s="570"/>
      <c r="G128" s="570"/>
      <c r="H128" s="570"/>
      <c r="I128" s="570"/>
      <c r="J128" s="570"/>
      <c r="K128" s="570"/>
      <c r="L128" s="570"/>
      <c r="N128" s="573"/>
      <c r="O128" s="13"/>
      <c r="P128" s="19"/>
      <c r="Q128" s="571"/>
      <c r="R128" s="10"/>
    </row>
    <row r="129" spans="1:18" ht="15.75">
      <c r="A129" s="570">
        <v>14</v>
      </c>
      <c r="B129" s="21" t="s">
        <v>89</v>
      </c>
      <c r="C129" s="570"/>
      <c r="D129" s="570"/>
      <c r="E129" s="570"/>
      <c r="F129" s="570"/>
      <c r="G129" s="570"/>
      <c r="H129" s="570"/>
      <c r="I129" s="570"/>
      <c r="J129" s="570"/>
      <c r="K129" s="570"/>
      <c r="L129" s="570"/>
      <c r="N129" s="571"/>
      <c r="O129" s="574"/>
      <c r="P129" s="19"/>
      <c r="Q129" s="571"/>
      <c r="R129" s="574"/>
    </row>
    <row r="130" spans="1:18" ht="15.75">
      <c r="A130" s="570"/>
      <c r="B130" s="21" t="s">
        <v>90</v>
      </c>
      <c r="C130" s="570"/>
      <c r="D130" s="570"/>
      <c r="E130" s="570"/>
      <c r="F130" s="570"/>
      <c r="G130" s="570"/>
      <c r="H130" s="570"/>
      <c r="I130" s="570"/>
      <c r="J130" s="570"/>
      <c r="K130" s="570"/>
      <c r="L130" s="570"/>
      <c r="N130" s="571"/>
      <c r="O130" s="574"/>
      <c r="P130" s="19"/>
      <c r="Q130" s="571"/>
      <c r="R130" s="574"/>
    </row>
    <row r="131" spans="1:18" ht="15.75">
      <c r="A131" s="570"/>
      <c r="B131" s="21" t="s">
        <v>132</v>
      </c>
      <c r="C131" s="570"/>
      <c r="D131" s="570"/>
      <c r="E131" s="570"/>
      <c r="F131" s="570"/>
      <c r="G131" s="570"/>
      <c r="H131" s="570"/>
      <c r="I131" s="570"/>
      <c r="J131" s="570"/>
      <c r="K131" s="570"/>
      <c r="L131" s="570"/>
      <c r="N131" s="571"/>
      <c r="O131" s="574"/>
      <c r="P131" s="19"/>
      <c r="Q131" s="571"/>
      <c r="R131" s="574"/>
    </row>
    <row r="132" spans="1:18" ht="15">
      <c r="A132" s="570"/>
      <c r="B132" s="61" t="s">
        <v>192</v>
      </c>
      <c r="C132" s="570">
        <f>C124</f>
        <v>1</v>
      </c>
      <c r="D132" s="570" t="s">
        <v>2</v>
      </c>
      <c r="E132" s="572">
        <v>16</v>
      </c>
      <c r="F132" s="570" t="s">
        <v>15</v>
      </c>
      <c r="G132" s="570"/>
      <c r="H132" s="570"/>
      <c r="I132" s="570"/>
      <c r="J132" s="570"/>
      <c r="K132" s="570"/>
      <c r="L132" s="570"/>
      <c r="M132" t="s">
        <v>3</v>
      </c>
      <c r="N132" s="178">
        <f>E132*C132</f>
        <v>16</v>
      </c>
      <c r="O132" s="574" t="s">
        <v>10</v>
      </c>
      <c r="P132" s="19"/>
      <c r="Q132" s="571"/>
      <c r="R132" s="574"/>
    </row>
    <row r="133" spans="1:18">
      <c r="A133" s="570"/>
      <c r="B133" s="56">
        <f>N132</f>
        <v>16</v>
      </c>
      <c r="C133" s="570" t="str">
        <f>O90</f>
        <v>Rft.</v>
      </c>
      <c r="D133" s="570"/>
      <c r="E133" s="572"/>
      <c r="F133" s="570"/>
      <c r="G133" s="570"/>
      <c r="H133" s="570"/>
      <c r="I133" s="570"/>
      <c r="J133" s="570"/>
      <c r="K133" s="570"/>
      <c r="L133" s="124" t="s">
        <v>178</v>
      </c>
      <c r="M133" s="583" t="s">
        <v>5</v>
      </c>
      <c r="N133" s="592">
        <v>869</v>
      </c>
      <c r="O133" s="19" t="s">
        <v>70</v>
      </c>
      <c r="P133" s="571" t="s">
        <v>16</v>
      </c>
      <c r="Q133" s="10">
        <f>N133*B133</f>
        <v>13904</v>
      </c>
      <c r="R133" s="574"/>
    </row>
    <row r="134" spans="1:18" ht="15">
      <c r="A134" s="570"/>
      <c r="B134" s="61" t="s">
        <v>91</v>
      </c>
      <c r="C134" s="570">
        <f>C125</f>
        <v>1</v>
      </c>
      <c r="D134" s="570" t="s">
        <v>2</v>
      </c>
      <c r="E134" s="572">
        <v>16</v>
      </c>
      <c r="F134" s="570" t="s">
        <v>15</v>
      </c>
      <c r="G134" s="570"/>
      <c r="H134" s="570"/>
      <c r="I134" s="570"/>
      <c r="J134" s="570"/>
      <c r="K134" s="570"/>
      <c r="L134" s="570"/>
      <c r="M134" t="s">
        <v>3</v>
      </c>
      <c r="N134" s="178">
        <f t="shared" ref="N134" si="3">E134*C134</f>
        <v>16</v>
      </c>
      <c r="O134" s="574" t="s">
        <v>10</v>
      </c>
      <c r="P134" s="19"/>
      <c r="Q134" s="571"/>
      <c r="R134" s="574"/>
    </row>
    <row r="135" spans="1:18">
      <c r="A135" s="570"/>
      <c r="B135" s="56">
        <f>N134</f>
        <v>16</v>
      </c>
      <c r="C135" s="572"/>
      <c r="D135" s="570"/>
      <c r="E135" s="572"/>
      <c r="F135" s="570"/>
      <c r="G135" s="570"/>
      <c r="H135" s="570"/>
      <c r="I135" s="570"/>
      <c r="J135" s="570"/>
      <c r="K135" s="570"/>
      <c r="L135" s="124" t="s">
        <v>178</v>
      </c>
      <c r="M135" s="583" t="s">
        <v>5</v>
      </c>
      <c r="N135" s="592">
        <v>618</v>
      </c>
      <c r="O135" s="19" t="s">
        <v>70</v>
      </c>
      <c r="P135" s="571" t="s">
        <v>16</v>
      </c>
      <c r="Q135" s="10">
        <f>N135*B135</f>
        <v>9888</v>
      </c>
      <c r="R135" s="574"/>
    </row>
    <row r="136" spans="1:18" ht="15">
      <c r="A136" s="570"/>
      <c r="B136" s="61"/>
      <c r="C136" s="570"/>
      <c r="D136" s="570"/>
      <c r="E136" s="570"/>
      <c r="F136" s="570"/>
      <c r="G136" s="570"/>
      <c r="H136" s="570"/>
      <c r="I136" s="570"/>
      <c r="J136" s="570"/>
      <c r="K136" s="570"/>
      <c r="L136" s="570"/>
      <c r="N136" s="62"/>
      <c r="O136" s="574"/>
      <c r="P136" s="19"/>
      <c r="Q136" s="571"/>
      <c r="R136" s="574"/>
    </row>
    <row r="137" spans="1:18" ht="15.75">
      <c r="A137" s="570">
        <v>15</v>
      </c>
      <c r="B137" s="63" t="s">
        <v>92</v>
      </c>
      <c r="C137" s="570"/>
      <c r="D137" s="570"/>
      <c r="E137" s="570"/>
      <c r="F137" s="570"/>
      <c r="G137" s="570"/>
      <c r="H137" s="570"/>
      <c r="I137" s="570"/>
      <c r="J137" s="570"/>
      <c r="K137" s="570"/>
      <c r="L137" s="570"/>
      <c r="N137" s="571"/>
      <c r="O137" s="574"/>
      <c r="P137" s="19"/>
      <c r="Q137" s="571"/>
      <c r="R137" s="574"/>
    </row>
    <row r="138" spans="1:18" ht="15.75">
      <c r="A138" s="570"/>
      <c r="B138" s="63" t="s">
        <v>93</v>
      </c>
      <c r="C138" s="570"/>
      <c r="D138" s="570"/>
      <c r="E138" s="570"/>
      <c r="F138" s="570"/>
      <c r="G138" s="570"/>
      <c r="H138" s="570"/>
      <c r="I138" s="570"/>
      <c r="J138" s="570"/>
      <c r="K138" s="570"/>
      <c r="L138" s="570"/>
      <c r="N138" s="571"/>
      <c r="O138" s="574"/>
      <c r="P138" s="19"/>
      <c r="Q138" s="571"/>
      <c r="R138" s="574"/>
    </row>
    <row r="139" spans="1:18" ht="15.75">
      <c r="A139" s="570"/>
      <c r="B139" s="63" t="s">
        <v>133</v>
      </c>
      <c r="C139" s="570"/>
      <c r="D139" s="570"/>
      <c r="E139" s="570"/>
      <c r="F139" s="570"/>
      <c r="G139" s="570"/>
      <c r="H139" s="570"/>
      <c r="I139" s="570"/>
      <c r="J139" s="570"/>
      <c r="K139" s="570"/>
      <c r="L139" s="570"/>
      <c r="N139" s="571"/>
      <c r="O139" s="574"/>
      <c r="P139" s="19"/>
      <c r="Q139" s="571"/>
      <c r="R139" s="574"/>
    </row>
    <row r="140" spans="1:18">
      <c r="A140" s="570"/>
      <c r="B140" s="64" t="s">
        <v>94</v>
      </c>
      <c r="C140" s="570"/>
      <c r="D140" s="570">
        <v>11</v>
      </c>
      <c r="E140" s="570" t="s">
        <v>46</v>
      </c>
      <c r="F140" s="570"/>
      <c r="G140" s="570">
        <v>12</v>
      </c>
      <c r="H140" s="589" t="s">
        <v>21</v>
      </c>
      <c r="I140" s="917">
        <f>B127+B114</f>
        <v>840</v>
      </c>
      <c r="J140" s="917"/>
      <c r="K140" s="589"/>
      <c r="L140" s="570"/>
      <c r="N140" s="585"/>
      <c r="O140" s="574"/>
      <c r="P140" s="19"/>
      <c r="Q140" s="571"/>
      <c r="R140" s="574"/>
    </row>
    <row r="141" spans="1:18">
      <c r="A141" s="570"/>
      <c r="B141" s="916"/>
      <c r="C141" s="916"/>
      <c r="D141" s="570"/>
      <c r="E141" s="570"/>
      <c r="F141" s="570"/>
      <c r="G141" s="570"/>
      <c r="H141" s="570"/>
      <c r="I141" s="570"/>
      <c r="J141" s="570"/>
      <c r="K141" s="570"/>
      <c r="L141" s="570"/>
      <c r="N141" s="585"/>
      <c r="O141" s="574"/>
      <c r="P141" s="19"/>
      <c r="Q141" s="571"/>
      <c r="R141" s="574"/>
    </row>
    <row r="142" spans="1:18">
      <c r="A142" s="570"/>
      <c r="B142" s="153">
        <f>I140</f>
        <v>840</v>
      </c>
      <c r="C142" s="589" t="s">
        <v>2</v>
      </c>
      <c r="D142" s="570">
        <v>90</v>
      </c>
      <c r="E142" s="134" t="s">
        <v>181</v>
      </c>
      <c r="F142" s="913">
        <v>100</v>
      </c>
      <c r="G142" s="913"/>
      <c r="H142" s="570"/>
      <c r="I142" s="570"/>
      <c r="J142" s="570"/>
      <c r="K142" s="570"/>
      <c r="L142" s="124"/>
      <c r="M142" t="s">
        <v>3</v>
      </c>
      <c r="N142" s="136">
        <f>B142*90/100</f>
        <v>756</v>
      </c>
      <c r="O142" s="25" t="s">
        <v>167</v>
      </c>
      <c r="P142" s="571"/>
      <c r="Q142" s="10"/>
      <c r="R142" s="574"/>
    </row>
    <row r="143" spans="1:18">
      <c r="A143" s="570"/>
      <c r="B143" s="56"/>
      <c r="C143" s="589"/>
      <c r="D143" s="570"/>
      <c r="E143" s="134"/>
      <c r="F143" s="570"/>
      <c r="G143" s="570"/>
      <c r="H143" s="570"/>
      <c r="I143" s="570"/>
      <c r="J143" s="570"/>
      <c r="K143" s="570"/>
      <c r="L143" s="124"/>
      <c r="N143" s="62"/>
      <c r="O143" s="25"/>
      <c r="P143" s="571"/>
      <c r="Q143" s="10"/>
      <c r="R143" s="574"/>
    </row>
    <row r="144" spans="1:18" ht="15">
      <c r="A144" s="570"/>
      <c r="B144" s="83">
        <f>N142</f>
        <v>756</v>
      </c>
      <c r="C144" s="589" t="s">
        <v>167</v>
      </c>
      <c r="D144" s="570"/>
      <c r="E144" s="570"/>
      <c r="F144" s="570"/>
      <c r="G144" s="570"/>
      <c r="H144" s="570"/>
      <c r="I144" s="570"/>
      <c r="J144" s="570"/>
      <c r="K144" s="570"/>
      <c r="L144" s="124" t="s">
        <v>178</v>
      </c>
      <c r="M144" s="583" t="s">
        <v>5</v>
      </c>
      <c r="N144" s="13">
        <v>2760</v>
      </c>
      <c r="O144" s="19" t="s">
        <v>1</v>
      </c>
      <c r="P144" s="571" t="s">
        <v>16</v>
      </c>
      <c r="Q144" s="10">
        <f>N144*B144/1000</f>
        <v>2086.56</v>
      </c>
      <c r="R144" s="574"/>
    </row>
    <row r="145" spans="1:24" ht="15">
      <c r="A145" s="570"/>
      <c r="B145" s="135"/>
      <c r="C145" s="589"/>
      <c r="D145" s="570"/>
      <c r="E145" s="570"/>
      <c r="F145" s="570"/>
      <c r="G145" s="570"/>
      <c r="H145" s="570"/>
      <c r="I145" s="570"/>
      <c r="J145" s="570"/>
      <c r="K145" s="570"/>
      <c r="L145" s="124"/>
      <c r="M145" s="583"/>
      <c r="N145" s="13"/>
      <c r="O145" s="19"/>
      <c r="P145" s="571"/>
      <c r="Q145" s="10"/>
      <c r="R145" s="574"/>
    </row>
    <row r="146" spans="1:24" s="174" customFormat="1" ht="15">
      <c r="A146" s="23">
        <v>16</v>
      </c>
      <c r="B146" s="174" t="s">
        <v>195</v>
      </c>
      <c r="E146" s="175"/>
      <c r="I146" s="175"/>
      <c r="L146" s="176"/>
      <c r="O146" s="176"/>
    </row>
    <row r="147" spans="1:24" s="174" customFormat="1" ht="15">
      <c r="A147" s="23"/>
      <c r="B147" s="174" t="s">
        <v>196</v>
      </c>
      <c r="E147" s="175"/>
      <c r="I147" s="175"/>
      <c r="L147" s="176"/>
      <c r="O147" s="176"/>
    </row>
    <row r="148" spans="1:24">
      <c r="B148" s="3">
        <v>2</v>
      </c>
      <c r="C148" s="570">
        <v>1</v>
      </c>
      <c r="D148" s="570" t="s">
        <v>2</v>
      </c>
      <c r="E148" s="570">
        <v>1</v>
      </c>
      <c r="F148" s="570" t="s">
        <v>2</v>
      </c>
      <c r="G148" s="570">
        <v>1.1299999999999999</v>
      </c>
      <c r="H148" s="570" t="s">
        <v>2</v>
      </c>
      <c r="I148" s="572">
        <v>2</v>
      </c>
      <c r="J148" s="570"/>
      <c r="K148" s="570"/>
      <c r="L148" s="570"/>
      <c r="M148" t="s">
        <v>3</v>
      </c>
      <c r="N148" s="2">
        <f>C148*E148*G148*I148*2</f>
        <v>4.5199999999999996</v>
      </c>
      <c r="O148" s="27" t="s">
        <v>167</v>
      </c>
      <c r="P148" s="25"/>
      <c r="Q148" s="19"/>
      <c r="R148" s="571"/>
      <c r="S148" s="10"/>
    </row>
    <row r="149" spans="1:24">
      <c r="B149" s="3">
        <v>2</v>
      </c>
      <c r="C149" s="570">
        <v>2</v>
      </c>
      <c r="D149" s="570" t="s">
        <v>2</v>
      </c>
      <c r="E149" s="570">
        <v>1.1299999999999999</v>
      </c>
      <c r="F149" s="570" t="s">
        <v>2</v>
      </c>
      <c r="G149" s="570">
        <v>1.1299999999999999</v>
      </c>
      <c r="H149" s="570" t="s">
        <v>2</v>
      </c>
      <c r="I149" s="572">
        <v>6</v>
      </c>
      <c r="J149" s="570"/>
      <c r="K149" s="570"/>
      <c r="L149" s="570"/>
      <c r="M149" s="589" t="s">
        <v>21</v>
      </c>
      <c r="N149" s="2">
        <f>C149*E149*G149*I149*2</f>
        <v>30.645599999999995</v>
      </c>
      <c r="O149" s="27" t="s">
        <v>167</v>
      </c>
      <c r="P149" s="25"/>
      <c r="Q149" s="19"/>
      <c r="R149" s="571"/>
      <c r="S149" s="10"/>
    </row>
    <row r="150" spans="1:24">
      <c r="B150" s="3"/>
      <c r="C150" s="570"/>
      <c r="D150" s="570"/>
      <c r="E150" s="570"/>
      <c r="F150" s="570"/>
      <c r="G150" s="570"/>
      <c r="H150" s="570"/>
      <c r="I150" s="570"/>
      <c r="J150" s="570"/>
      <c r="K150" s="570"/>
      <c r="L150" s="570"/>
      <c r="M150" s="570"/>
      <c r="N150" s="56">
        <f>SUM(N148:N149)</f>
        <v>35.165599999999998</v>
      </c>
      <c r="O150" s="27" t="s">
        <v>167</v>
      </c>
      <c r="P150" s="25"/>
      <c r="Q150" s="19"/>
      <c r="R150" s="571"/>
      <c r="S150" s="10"/>
    </row>
    <row r="151" spans="1:24">
      <c r="B151" s="56">
        <f>N150</f>
        <v>35.165599999999998</v>
      </c>
      <c r="C151" s="589" t="s">
        <v>6</v>
      </c>
      <c r="D151" s="570"/>
      <c r="E151" s="570"/>
      <c r="F151" s="570"/>
      <c r="G151" s="570"/>
      <c r="H151" s="570"/>
      <c r="I151" s="570"/>
      <c r="J151" s="570"/>
      <c r="K151" s="570"/>
      <c r="L151" s="124" t="s">
        <v>178</v>
      </c>
      <c r="M151" s="583" t="s">
        <v>5</v>
      </c>
      <c r="N151" s="13">
        <v>11948.36</v>
      </c>
      <c r="O151" s="225" t="s">
        <v>197</v>
      </c>
      <c r="P151" s="571" t="s">
        <v>16</v>
      </c>
      <c r="Q151" s="10">
        <f>N151*B151/100</f>
        <v>4201.7124841599998</v>
      </c>
      <c r="R151" s="10" t="e">
        <f>O151*B151/100</f>
        <v>#VALUE!</v>
      </c>
    </row>
    <row r="152" spans="1:24" s="174" customFormat="1" ht="15">
      <c r="A152" s="23"/>
      <c r="E152" s="175"/>
      <c r="I152" s="175"/>
      <c r="L152" s="176"/>
      <c r="O152" s="176"/>
    </row>
    <row r="153" spans="1:24">
      <c r="A153" s="570">
        <v>18</v>
      </c>
      <c r="B153" s="6" t="s">
        <v>134</v>
      </c>
      <c r="C153" s="570"/>
      <c r="D153" s="570"/>
      <c r="E153" s="570"/>
      <c r="F153" s="570"/>
      <c r="G153" s="570"/>
      <c r="H153" s="570"/>
      <c r="I153" s="570"/>
      <c r="J153" s="570"/>
      <c r="K153" s="570"/>
      <c r="L153" s="570"/>
      <c r="M153" s="570"/>
      <c r="O153" s="573"/>
      <c r="P153" s="574"/>
      <c r="Q153" s="19"/>
      <c r="R153" s="571"/>
      <c r="S153" s="10"/>
    </row>
    <row r="154" spans="1:24" ht="15" customHeight="1">
      <c r="B154" s="3">
        <v>2</v>
      </c>
      <c r="C154" s="570">
        <f>C148</f>
        <v>1</v>
      </c>
      <c r="D154" s="570" t="s">
        <v>2</v>
      </c>
      <c r="E154" s="570">
        <f>E148</f>
        <v>1</v>
      </c>
      <c r="F154" s="570" t="s">
        <v>2</v>
      </c>
      <c r="G154" s="570">
        <v>4.25</v>
      </c>
      <c r="H154" s="570"/>
      <c r="I154" s="570"/>
      <c r="J154" s="570"/>
      <c r="K154" s="570"/>
      <c r="L154" s="570"/>
      <c r="M154" s="589" t="s">
        <v>21</v>
      </c>
      <c r="N154" s="2">
        <f>C154*E154*G154*2</f>
        <v>8.5</v>
      </c>
      <c r="O154" s="27" t="s">
        <v>187</v>
      </c>
      <c r="P154" s="574"/>
      <c r="Q154" s="19"/>
      <c r="R154" s="571"/>
      <c r="S154" s="10"/>
    </row>
    <row r="155" spans="1:24">
      <c r="B155" s="3">
        <v>2</v>
      </c>
      <c r="C155" s="570">
        <v>2</v>
      </c>
      <c r="D155" s="570" t="s">
        <v>2</v>
      </c>
      <c r="E155" s="570">
        <v>3</v>
      </c>
      <c r="F155" s="570" t="s">
        <v>2</v>
      </c>
      <c r="G155" s="570">
        <v>1.1299999999999999</v>
      </c>
      <c r="H155" s="570" t="s">
        <v>2</v>
      </c>
      <c r="I155" s="572">
        <v>8</v>
      </c>
      <c r="J155" s="570"/>
      <c r="K155" s="570"/>
      <c r="L155" s="570"/>
      <c r="M155" s="589" t="s">
        <v>21</v>
      </c>
      <c r="N155" s="2">
        <f>C155*E155*G155*I155*2</f>
        <v>108.47999999999999</v>
      </c>
      <c r="O155" s="27" t="s">
        <v>187</v>
      </c>
      <c r="P155" s="17"/>
      <c r="Q155" s="19"/>
      <c r="R155" s="571"/>
      <c r="S155" s="10"/>
    </row>
    <row r="156" spans="1:24">
      <c r="B156" s="3"/>
      <c r="C156" s="570"/>
      <c r="D156" s="570"/>
      <c r="E156" s="570"/>
      <c r="F156" s="570"/>
      <c r="G156" s="570"/>
      <c r="H156" s="570"/>
      <c r="I156" s="570"/>
      <c r="J156" s="570"/>
      <c r="K156" s="570"/>
      <c r="L156" s="570"/>
      <c r="M156" s="570"/>
      <c r="N156" s="56">
        <f>SUM(N154:N155)</f>
        <v>116.97999999999999</v>
      </c>
      <c r="O156" s="586" t="s">
        <v>187</v>
      </c>
      <c r="P156" s="587"/>
      <c r="Q156" s="19"/>
      <c r="R156" s="571"/>
      <c r="S156" s="10"/>
    </row>
    <row r="157" spans="1:24" ht="15.75">
      <c r="B157" s="56">
        <f>N156</f>
        <v>116.97999999999999</v>
      </c>
      <c r="C157" s="342"/>
      <c r="D157" s="589" t="s">
        <v>187</v>
      </c>
      <c r="E157" s="570"/>
      <c r="F157" s="570"/>
      <c r="G157" s="570"/>
      <c r="H157" s="570"/>
      <c r="I157" s="570"/>
      <c r="J157" s="570"/>
      <c r="K157" s="570"/>
      <c r="L157" s="124" t="s">
        <v>178</v>
      </c>
      <c r="M157" s="583" t="s">
        <v>5</v>
      </c>
      <c r="N157" s="13">
        <v>2283.9299999999998</v>
      </c>
      <c r="O157" s="225" t="s">
        <v>198</v>
      </c>
      <c r="P157" s="571" t="s">
        <v>16</v>
      </c>
      <c r="Q157" s="10">
        <f>N157*B157/100</f>
        <v>2671.7413139999994</v>
      </c>
      <c r="R157" s="177" t="e">
        <f>O157*B157/100</f>
        <v>#VALUE!</v>
      </c>
      <c r="T157" s="7"/>
      <c r="U157" s="7"/>
      <c r="V157" s="7"/>
      <c r="W157" s="7"/>
      <c r="X157" s="7"/>
    </row>
    <row r="158" spans="1:24" ht="15">
      <c r="A158" s="570"/>
      <c r="B158" s="135"/>
      <c r="C158" s="589"/>
      <c r="D158" s="570"/>
      <c r="E158" s="570"/>
      <c r="F158" s="570"/>
      <c r="G158" s="570"/>
      <c r="H158" s="570"/>
      <c r="I158" s="570"/>
      <c r="J158" s="570"/>
      <c r="K158" s="570"/>
      <c r="L158" s="124"/>
      <c r="M158" s="583"/>
      <c r="N158" s="13"/>
      <c r="O158" s="19"/>
      <c r="P158" s="137"/>
      <c r="Q158" s="138"/>
      <c r="R158" s="574"/>
    </row>
    <row r="159" spans="1:24" ht="15">
      <c r="A159" s="570"/>
      <c r="B159" s="135"/>
      <c r="C159" s="589"/>
      <c r="D159" s="570"/>
      <c r="E159" s="570"/>
      <c r="F159" s="570"/>
      <c r="G159" s="570"/>
      <c r="H159" s="570"/>
      <c r="I159" s="570"/>
      <c r="J159" s="570"/>
      <c r="K159" s="570"/>
      <c r="L159" s="124"/>
      <c r="M159" s="583"/>
      <c r="N159" s="13"/>
      <c r="O159" s="225" t="s">
        <v>183</v>
      </c>
      <c r="P159" s="346" t="s">
        <v>5</v>
      </c>
      <c r="Q159" s="10">
        <f>SUM(Q9:Q158)</f>
        <v>381168.95425048139</v>
      </c>
      <c r="R159" s="574"/>
    </row>
    <row r="160" spans="1:24" s="7" customFormat="1" ht="15.75">
      <c r="A160" s="591"/>
      <c r="P160"/>
      <c r="Q160" s="72"/>
      <c r="S160" s="6"/>
      <c r="T160" s="6"/>
      <c r="U160" s="6"/>
      <c r="V160" s="6"/>
      <c r="W160" s="6"/>
    </row>
    <row r="161" spans="3:23" s="6" customFormat="1" ht="15">
      <c r="G161" s="6" t="s">
        <v>331</v>
      </c>
      <c r="P161" s="15" t="s">
        <v>5</v>
      </c>
      <c r="Q161" s="28">
        <f>Q159*33.7/100</f>
        <v>128453.93758241223</v>
      </c>
    </row>
    <row r="162" spans="3:23" s="6" customFormat="1" ht="15">
      <c r="P162" s="653"/>
      <c r="Q162" s="619"/>
    </row>
    <row r="163" spans="3:23" s="6" customFormat="1">
      <c r="Q163" s="25"/>
      <c r="S163"/>
      <c r="T163"/>
      <c r="U163"/>
      <c r="V163"/>
      <c r="W163"/>
    </row>
    <row r="164" spans="3:23" s="6" customFormat="1">
      <c r="C164" s="6">
        <v>1</v>
      </c>
      <c r="D164" s="6" t="s">
        <v>613</v>
      </c>
      <c r="H164" s="6" t="s">
        <v>614</v>
      </c>
      <c r="O164" s="3" t="s">
        <v>185</v>
      </c>
      <c r="P164" s="14" t="s">
        <v>5</v>
      </c>
      <c r="Q164" s="8">
        <f>SUM(Q159:Q163)</f>
        <v>509622.8918328936</v>
      </c>
      <c r="S164"/>
      <c r="T164"/>
      <c r="U164"/>
      <c r="V164"/>
      <c r="W164"/>
    </row>
    <row r="165" spans="3:23" s="6" customFormat="1">
      <c r="C165" s="6">
        <v>2</v>
      </c>
      <c r="D165" s="6" t="s">
        <v>607</v>
      </c>
      <c r="H165" s="6" t="s">
        <v>614</v>
      </c>
      <c r="O165" s="3"/>
      <c r="P165" s="14"/>
      <c r="Q165" s="8"/>
      <c r="S165"/>
      <c r="T165"/>
      <c r="U165"/>
      <c r="V165"/>
      <c r="W165"/>
    </row>
    <row r="166" spans="3:23" ht="15">
      <c r="G166" s="461" t="s">
        <v>21</v>
      </c>
      <c r="H166" s="461" t="s">
        <v>615</v>
      </c>
      <c r="I166" s="461"/>
      <c r="J166" s="461" t="s">
        <v>21</v>
      </c>
      <c r="K166" s="673">
        <f>Q164</f>
        <v>509622.8918328936</v>
      </c>
      <c r="L166" s="461" t="s">
        <v>616</v>
      </c>
      <c r="M166" s="461" t="s">
        <v>21</v>
      </c>
      <c r="N166" s="461"/>
      <c r="O166" s="461"/>
      <c r="P166" s="461" t="s">
        <v>402</v>
      </c>
      <c r="Q166" s="477">
        <f>Q164*2</f>
        <v>1019245.7836657872</v>
      </c>
    </row>
    <row r="167" spans="3:23">
      <c r="K167" s="645"/>
      <c r="Q167" s="10"/>
    </row>
    <row r="168" spans="3:23">
      <c r="K168" s="645"/>
      <c r="Q168" s="10"/>
    </row>
  </sheetData>
  <mergeCells count="4">
    <mergeCell ref="F142:G142"/>
    <mergeCell ref="A1:Q1"/>
    <mergeCell ref="I140:J140"/>
    <mergeCell ref="B141:C141"/>
  </mergeCells>
  <pageMargins left="0.7" right="0.26" top="0.56999999999999995" bottom="0.75" header="0.3" footer="0.3"/>
  <pageSetup orientation="portrait" r:id="rId1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rgb="FFFF0000"/>
  </sheetPr>
  <dimension ref="A1:Q165"/>
  <sheetViews>
    <sheetView topLeftCell="A142" workbookViewId="0">
      <selection activeCell="R166" sqref="R166"/>
    </sheetView>
  </sheetViews>
  <sheetFormatPr defaultRowHeight="12.75"/>
  <cols>
    <col min="1" max="1" width="3" style="679" customWidth="1"/>
    <col min="2" max="2" width="5.85546875" customWidth="1"/>
    <col min="3" max="3" width="6.7109375" customWidth="1"/>
    <col min="4" max="4" width="2.85546875" customWidth="1"/>
    <col min="5" max="5" width="8.28515625" customWidth="1"/>
    <col min="6" max="6" width="4.5703125" customWidth="1"/>
    <col min="7" max="7" width="7.28515625" customWidth="1"/>
    <col min="8" max="8" width="2.42578125" customWidth="1"/>
    <col min="9" max="9" width="9.140625" customWidth="1"/>
    <col min="10" max="10" width="2.85546875" customWidth="1"/>
    <col min="11" max="11" width="5.42578125" customWidth="1"/>
    <col min="12" max="12" width="9.7109375" customWidth="1"/>
    <col min="13" max="13" width="9.5703125" customWidth="1"/>
    <col min="14" max="14" width="3.28515625" customWidth="1"/>
    <col min="15" max="15" width="10" customWidth="1"/>
  </cols>
  <sheetData>
    <row r="1" spans="1:17">
      <c r="A1" s="1015" t="s">
        <v>619</v>
      </c>
      <c r="B1" s="1015"/>
      <c r="C1" s="1015"/>
      <c r="D1" s="1015"/>
      <c r="E1" s="1015"/>
      <c r="F1" s="1015"/>
      <c r="G1" s="1015"/>
      <c r="H1" s="1015"/>
      <c r="I1" s="1015"/>
      <c r="J1" s="1015"/>
      <c r="K1" s="1015"/>
      <c r="L1" s="1015"/>
      <c r="M1" s="1015"/>
      <c r="N1" s="1015"/>
      <c r="O1" s="1015"/>
    </row>
    <row r="2" spans="1:17">
      <c r="A2" s="687"/>
      <c r="B2" s="553"/>
      <c r="C2" s="553"/>
      <c r="D2" s="553"/>
      <c r="E2" s="553"/>
      <c r="F2" s="553"/>
      <c r="G2" s="553"/>
      <c r="H2" s="553"/>
      <c r="I2" s="553"/>
      <c r="J2" s="553"/>
      <c r="K2" s="553"/>
      <c r="L2" s="554"/>
      <c r="M2" s="555"/>
      <c r="N2" s="553"/>
      <c r="O2" s="553"/>
    </row>
    <row r="3" spans="1:17" ht="15">
      <c r="A3" s="679">
        <v>1</v>
      </c>
      <c r="B3" s="683" t="s">
        <v>36</v>
      </c>
      <c r="Q3" s="694" t="s">
        <v>618</v>
      </c>
    </row>
    <row r="4" spans="1:17" ht="15">
      <c r="C4">
        <v>1</v>
      </c>
      <c r="D4" t="s">
        <v>2</v>
      </c>
      <c r="E4" s="679">
        <v>200</v>
      </c>
      <c r="F4" t="s">
        <v>2</v>
      </c>
      <c r="G4" s="683">
        <v>5.25</v>
      </c>
      <c r="H4" t="s">
        <v>2</v>
      </c>
      <c r="I4" s="695">
        <v>1</v>
      </c>
      <c r="J4" s="679" t="s">
        <v>3</v>
      </c>
      <c r="K4" s="679"/>
      <c r="L4" s="682">
        <f>I4*G4*E4*C4</f>
        <v>1050</v>
      </c>
      <c r="M4" s="6" t="s">
        <v>6</v>
      </c>
      <c r="Q4" s="694">
        <v>3950</v>
      </c>
    </row>
    <row r="5" spans="1:17" ht="18.75" customHeight="1">
      <c r="B5" s="946">
        <f>L4</f>
        <v>1050</v>
      </c>
      <c r="C5" s="946"/>
      <c r="D5" s="946"/>
      <c r="E5" s="946"/>
      <c r="F5" s="6" t="s">
        <v>6</v>
      </c>
      <c r="G5" s="6"/>
      <c r="H5" s="6"/>
      <c r="I5" s="6" t="s">
        <v>15</v>
      </c>
      <c r="J5" s="6"/>
      <c r="K5" s="685" t="s">
        <v>19</v>
      </c>
      <c r="L5" s="27">
        <v>605</v>
      </c>
      <c r="M5" s="6" t="s">
        <v>12</v>
      </c>
      <c r="N5" s="6" t="s">
        <v>16</v>
      </c>
      <c r="O5" s="28">
        <f>B5*L5/100</f>
        <v>6352.5</v>
      </c>
    </row>
    <row r="6" spans="1:17">
      <c r="K6" s="682"/>
      <c r="L6" s="13"/>
    </row>
    <row r="7" spans="1:17">
      <c r="A7" s="679">
        <v>2</v>
      </c>
      <c r="B7" t="s">
        <v>37</v>
      </c>
      <c r="K7" s="682"/>
      <c r="L7" s="13"/>
    </row>
    <row r="8" spans="1:17">
      <c r="B8" t="s">
        <v>20</v>
      </c>
      <c r="K8" s="682"/>
      <c r="L8" s="13"/>
    </row>
    <row r="9" spans="1:17">
      <c r="C9">
        <v>40</v>
      </c>
      <c r="D9" t="s">
        <v>2</v>
      </c>
      <c r="E9" s="681">
        <v>8</v>
      </c>
      <c r="F9" t="s">
        <v>2</v>
      </c>
      <c r="G9" s="13">
        <v>2.5</v>
      </c>
      <c r="H9" t="s">
        <v>2</v>
      </c>
      <c r="I9" s="683">
        <v>0.75</v>
      </c>
      <c r="J9" s="679" t="s">
        <v>21</v>
      </c>
      <c r="K9" s="679"/>
      <c r="L9" s="682">
        <f>C9*E9*G9*I9</f>
        <v>600</v>
      </c>
      <c r="M9" s="27" t="s">
        <v>6</v>
      </c>
    </row>
    <row r="10" spans="1:17" ht="17.25" customHeight="1">
      <c r="B10" s="946">
        <f>L9</f>
        <v>600</v>
      </c>
      <c r="C10" s="946"/>
      <c r="D10" s="946"/>
      <c r="E10" s="946"/>
      <c r="F10" s="6" t="s">
        <v>6</v>
      </c>
      <c r="K10" s="682" t="str">
        <f>K5</f>
        <v xml:space="preserve"> @ Rs:</v>
      </c>
      <c r="L10" s="13">
        <v>1285.6300000000001</v>
      </c>
      <c r="M10" t="str">
        <f>M5</f>
        <v>P%Cft</v>
      </c>
      <c r="N10" t="s">
        <v>16</v>
      </c>
      <c r="O10" s="10">
        <f>B10*L10/100</f>
        <v>7713.7800000000016</v>
      </c>
    </row>
    <row r="11" spans="1:17">
      <c r="E11" t="s">
        <v>15</v>
      </c>
      <c r="K11" s="682"/>
      <c r="L11" s="13"/>
    </row>
    <row r="12" spans="1:17">
      <c r="A12" s="679">
        <v>3</v>
      </c>
      <c r="B12" t="s">
        <v>38</v>
      </c>
      <c r="K12" s="682"/>
      <c r="L12" s="13"/>
    </row>
    <row r="13" spans="1:17">
      <c r="B13" t="s">
        <v>22</v>
      </c>
      <c r="C13" s="679">
        <v>50</v>
      </c>
      <c r="D13" t="s">
        <v>2</v>
      </c>
      <c r="E13" s="681">
        <v>5</v>
      </c>
      <c r="F13" s="679" t="s">
        <v>2</v>
      </c>
      <c r="G13" s="679">
        <v>3</v>
      </c>
      <c r="H13" s="679" t="s">
        <v>2</v>
      </c>
      <c r="I13" s="678">
        <v>0.5</v>
      </c>
      <c r="J13" s="679" t="str">
        <f>J9</f>
        <v>=</v>
      </c>
      <c r="K13" s="679"/>
      <c r="L13" s="682">
        <f>C13*E13*G13*I13</f>
        <v>375</v>
      </c>
      <c r="M13" s="27" t="s">
        <v>6</v>
      </c>
    </row>
    <row r="14" spans="1:17" ht="21" customHeight="1">
      <c r="B14" s="946">
        <f>L13</f>
        <v>375</v>
      </c>
      <c r="C14" s="946"/>
      <c r="D14" s="946"/>
      <c r="E14" s="946"/>
      <c r="F14" s="6" t="s">
        <v>6</v>
      </c>
      <c r="K14" s="682" t="str">
        <f>K10</f>
        <v xml:space="preserve"> @ Rs:</v>
      </c>
      <c r="L14" s="13">
        <v>3327.5</v>
      </c>
      <c r="M14" t="str">
        <f>M10</f>
        <v>P%Cft</v>
      </c>
      <c r="N14" t="str">
        <f>N10</f>
        <v>Rs:</v>
      </c>
      <c r="O14" s="10">
        <f>B14*L14/100</f>
        <v>12478.125</v>
      </c>
    </row>
    <row r="15" spans="1:17">
      <c r="K15" s="682"/>
      <c r="L15" s="13"/>
      <c r="O15" s="683"/>
    </row>
    <row r="16" spans="1:17">
      <c r="A16" s="679">
        <v>4</v>
      </c>
      <c r="B16" t="s">
        <v>23</v>
      </c>
      <c r="K16" s="682"/>
      <c r="L16" s="13"/>
    </row>
    <row r="17" spans="1:15">
      <c r="B17" t="s">
        <v>282</v>
      </c>
      <c r="K17" s="682"/>
      <c r="L17" s="13"/>
    </row>
    <row r="18" spans="1:15">
      <c r="B18" t="s">
        <v>25</v>
      </c>
      <c r="C18">
        <v>40</v>
      </c>
      <c r="D18" t="s">
        <v>2</v>
      </c>
      <c r="E18" s="681">
        <v>5</v>
      </c>
      <c r="F18" s="679" t="s">
        <v>2</v>
      </c>
      <c r="G18" s="679">
        <v>3</v>
      </c>
      <c r="H18" t="s">
        <v>2</v>
      </c>
      <c r="I18" s="13">
        <v>0.5</v>
      </c>
      <c r="J18" s="679" t="s">
        <v>21</v>
      </c>
      <c r="K18" s="679"/>
      <c r="L18" s="682">
        <f>C18*E18*G18*I18</f>
        <v>300</v>
      </c>
      <c r="M18" s="27" t="s">
        <v>6</v>
      </c>
    </row>
    <row r="19" spans="1:15" ht="19.5" customHeight="1">
      <c r="B19" s="946">
        <f>L18</f>
        <v>300</v>
      </c>
      <c r="C19" s="946"/>
      <c r="D19" s="946"/>
      <c r="E19" s="946"/>
      <c r="F19" s="6" t="s">
        <v>6</v>
      </c>
      <c r="K19" s="682" t="str">
        <f>K14</f>
        <v xml:space="preserve"> @ Rs:</v>
      </c>
      <c r="L19" s="13">
        <v>5445</v>
      </c>
      <c r="M19" t="str">
        <f>M14</f>
        <v>P%Cft</v>
      </c>
      <c r="N19" t="str">
        <f>N14</f>
        <v>Rs:</v>
      </c>
      <c r="O19" s="10">
        <f>B19*L19/100</f>
        <v>16335</v>
      </c>
    </row>
    <row r="20" spans="1:15">
      <c r="K20" s="682"/>
      <c r="L20" s="13"/>
    </row>
    <row r="21" spans="1:15" ht="15.75">
      <c r="A21" s="679">
        <v>5</v>
      </c>
      <c r="B21" s="7" t="s">
        <v>79</v>
      </c>
      <c r="C21" s="19"/>
      <c r="D21" s="19"/>
      <c r="E21" s="19"/>
      <c r="K21" s="682"/>
      <c r="L21" s="13"/>
    </row>
    <row r="22" spans="1:15" ht="15.75">
      <c r="B22" s="7" t="s">
        <v>80</v>
      </c>
      <c r="K22" s="682"/>
      <c r="L22" s="13"/>
    </row>
    <row r="23" spans="1:15" ht="15.75">
      <c r="B23" s="7" t="s">
        <v>81</v>
      </c>
      <c r="K23" s="682"/>
      <c r="L23" s="13"/>
    </row>
    <row r="24" spans="1:15" ht="15.75">
      <c r="B24" s="7" t="s">
        <v>82</v>
      </c>
      <c r="K24" s="682"/>
      <c r="L24" s="13"/>
    </row>
    <row r="25" spans="1:15" ht="15.75">
      <c r="B25" s="7" t="s">
        <v>83</v>
      </c>
      <c r="K25" s="682"/>
      <c r="L25" s="13"/>
    </row>
    <row r="26" spans="1:15" ht="15.75">
      <c r="B26" s="7" t="s">
        <v>84</v>
      </c>
      <c r="K26" s="682"/>
      <c r="L26" s="13"/>
    </row>
    <row r="27" spans="1:15" ht="15.75">
      <c r="B27" s="7" t="s">
        <v>129</v>
      </c>
      <c r="K27" s="682"/>
      <c r="L27" s="13"/>
    </row>
    <row r="28" spans="1:15" ht="18" customHeight="1">
      <c r="C28">
        <v>1</v>
      </c>
      <c r="D28" t="s">
        <v>2</v>
      </c>
      <c r="E28">
        <f>Q4</f>
        <v>3950</v>
      </c>
      <c r="F28" t="s">
        <v>2</v>
      </c>
      <c r="G28">
        <f>G4</f>
        <v>5.25</v>
      </c>
      <c r="H28" t="s">
        <v>2</v>
      </c>
      <c r="I28">
        <v>4</v>
      </c>
      <c r="J28" s="679" t="str">
        <f>J18</f>
        <v>=</v>
      </c>
      <c r="K28" s="679"/>
      <c r="L28" s="682">
        <f>C28*E28*G28*I28</f>
        <v>82950</v>
      </c>
      <c r="M28" s="27" t="s">
        <v>6</v>
      </c>
    </row>
    <row r="29" spans="1:15" ht="21" customHeight="1">
      <c r="B29" s="946">
        <f>L28</f>
        <v>82950</v>
      </c>
      <c r="C29" s="946"/>
      <c r="D29" s="946"/>
      <c r="E29" s="946"/>
      <c r="F29" s="6" t="s">
        <v>6</v>
      </c>
      <c r="K29" s="682" t="str">
        <f>K19</f>
        <v xml:space="preserve"> @ Rs:</v>
      </c>
      <c r="L29" s="13">
        <v>3600</v>
      </c>
      <c r="M29" t="s">
        <v>1</v>
      </c>
      <c r="N29" t="s">
        <v>16</v>
      </c>
      <c r="O29" s="10">
        <f>B29*L29/1000</f>
        <v>298620</v>
      </c>
    </row>
    <row r="30" spans="1:15">
      <c r="K30" s="682"/>
      <c r="L30" s="13"/>
    </row>
    <row r="31" spans="1:15" ht="15.75">
      <c r="A31" s="679">
        <v>6</v>
      </c>
      <c r="B31" s="7" t="s">
        <v>87</v>
      </c>
      <c r="K31" s="682"/>
      <c r="L31" s="13"/>
    </row>
    <row r="32" spans="1:15" ht="15.75">
      <c r="B32" s="7" t="s">
        <v>80</v>
      </c>
      <c r="K32" s="682"/>
      <c r="L32" s="13"/>
    </row>
    <row r="33" spans="1:15" ht="15.75">
      <c r="B33" s="7" t="s">
        <v>81</v>
      </c>
      <c r="K33" s="682"/>
      <c r="L33" s="13"/>
    </row>
    <row r="34" spans="1:15" ht="15.75">
      <c r="B34" s="7" t="s">
        <v>82</v>
      </c>
      <c r="K34" s="682"/>
      <c r="L34" s="13"/>
    </row>
    <row r="35" spans="1:15" ht="15.75">
      <c r="B35" s="7" t="s">
        <v>83</v>
      </c>
      <c r="K35" s="682"/>
      <c r="L35" s="13"/>
    </row>
    <row r="36" spans="1:15" ht="15.75">
      <c r="B36" s="7" t="s">
        <v>84</v>
      </c>
      <c r="K36" s="682"/>
      <c r="L36" s="13"/>
    </row>
    <row r="37" spans="1:15" ht="15.75">
      <c r="B37" s="7" t="s">
        <v>130</v>
      </c>
      <c r="K37" s="682"/>
      <c r="L37" s="13"/>
    </row>
    <row r="38" spans="1:15" ht="20.25" customHeight="1">
      <c r="C38">
        <f>C28</f>
        <v>1</v>
      </c>
      <c r="D38" t="s">
        <v>2</v>
      </c>
      <c r="E38">
        <f>E28</f>
        <v>3950</v>
      </c>
      <c r="F38" t="s">
        <v>2</v>
      </c>
      <c r="G38">
        <f>G28</f>
        <v>5.25</v>
      </c>
      <c r="H38" t="s">
        <v>2</v>
      </c>
      <c r="I38" s="681">
        <v>2</v>
      </c>
      <c r="J38" s="679" t="s">
        <v>21</v>
      </c>
      <c r="K38" s="679"/>
      <c r="L38" s="682">
        <f>C38*E38*G38*I38</f>
        <v>41475</v>
      </c>
      <c r="M38" s="27" t="s">
        <v>6</v>
      </c>
    </row>
    <row r="39" spans="1:15" ht="21" customHeight="1">
      <c r="B39" s="946">
        <f>L38</f>
        <v>41475</v>
      </c>
      <c r="C39" s="946"/>
      <c r="D39" s="946"/>
      <c r="E39" s="946"/>
      <c r="F39" s="6" t="s">
        <v>6</v>
      </c>
      <c r="K39" s="682" t="str">
        <f>K29</f>
        <v xml:space="preserve"> @ Rs:</v>
      </c>
      <c r="L39" s="13">
        <v>5400</v>
      </c>
      <c r="M39" t="str">
        <f>M29</f>
        <v>P%0Cft</v>
      </c>
      <c r="N39" t="s">
        <v>16</v>
      </c>
      <c r="O39" s="10">
        <f>B39*L39/1000</f>
        <v>223965</v>
      </c>
    </row>
    <row r="40" spans="1:15">
      <c r="K40" s="682"/>
      <c r="L40" s="13"/>
    </row>
    <row r="41" spans="1:15" ht="15.75">
      <c r="A41" s="679">
        <v>7</v>
      </c>
      <c r="B41" s="7" t="s">
        <v>92</v>
      </c>
      <c r="K41" s="682"/>
      <c r="L41" s="13"/>
    </row>
    <row r="42" spans="1:15" ht="15.75">
      <c r="B42" s="7" t="s">
        <v>268</v>
      </c>
      <c r="K42" s="682"/>
      <c r="L42" s="13"/>
    </row>
    <row r="43" spans="1:15" ht="21" customHeight="1">
      <c r="C43">
        <v>2</v>
      </c>
      <c r="D43" t="s">
        <v>2</v>
      </c>
      <c r="E43">
        <f>E38</f>
        <v>3950</v>
      </c>
      <c r="F43" t="s">
        <v>2</v>
      </c>
      <c r="G43" s="678">
        <v>0.5</v>
      </c>
      <c r="H43" t="s">
        <v>2</v>
      </c>
      <c r="I43" s="681">
        <v>5</v>
      </c>
      <c r="J43" s="679" t="str">
        <f>J38</f>
        <v>=</v>
      </c>
      <c r="K43" s="679"/>
      <c r="L43" s="682">
        <f>C43*E43*G43*I43</f>
        <v>19750</v>
      </c>
      <c r="M43" s="27" t="s">
        <v>6</v>
      </c>
    </row>
    <row r="44" spans="1:15" ht="22.5" customHeight="1">
      <c r="B44" s="1016">
        <f>L43</f>
        <v>19750</v>
      </c>
      <c r="C44" s="1016"/>
      <c r="D44" s="1016"/>
      <c r="E44" s="1016"/>
      <c r="F44" s="6" t="s">
        <v>6</v>
      </c>
      <c r="K44" s="682" t="str">
        <f>K39</f>
        <v xml:space="preserve"> @ Rs:</v>
      </c>
      <c r="L44" s="13">
        <v>2760</v>
      </c>
      <c r="M44" t="str">
        <f>M39</f>
        <v>P%0Cft</v>
      </c>
      <c r="N44" t="s">
        <v>16</v>
      </c>
      <c r="O44" s="10">
        <f>B44*L44/1000</f>
        <v>54510</v>
      </c>
    </row>
    <row r="45" spans="1:15">
      <c r="K45" s="682"/>
      <c r="L45" s="13"/>
    </row>
    <row r="46" spans="1:15">
      <c r="A46" s="679">
        <v>8</v>
      </c>
      <c r="B46" t="s">
        <v>473</v>
      </c>
      <c r="K46" s="682"/>
      <c r="L46" s="13"/>
    </row>
    <row r="47" spans="1:15">
      <c r="B47" t="s">
        <v>474</v>
      </c>
      <c r="K47" s="682"/>
      <c r="L47" s="13"/>
    </row>
    <row r="48" spans="1:15">
      <c r="B48" t="s">
        <v>475</v>
      </c>
      <c r="C48">
        <v>1100</v>
      </c>
      <c r="D48" t="s">
        <v>30</v>
      </c>
      <c r="E48">
        <v>100</v>
      </c>
      <c r="F48" t="s">
        <v>21</v>
      </c>
      <c r="G48" s="679">
        <f>C48-E48</f>
        <v>1000</v>
      </c>
      <c r="H48" s="556" t="s">
        <v>181</v>
      </c>
      <c r="I48">
        <v>50</v>
      </c>
      <c r="J48" t="s">
        <v>21</v>
      </c>
      <c r="K48" s="136">
        <f>G48/I48</f>
        <v>20</v>
      </c>
      <c r="L48" s="13"/>
    </row>
    <row r="49" spans="1:15" ht="17.25" customHeight="1">
      <c r="C49" s="679">
        <v>20</v>
      </c>
      <c r="D49" t="s">
        <v>2</v>
      </c>
      <c r="E49" s="2">
        <v>100.78</v>
      </c>
      <c r="F49" t="s">
        <v>476</v>
      </c>
      <c r="H49" t="s">
        <v>21</v>
      </c>
      <c r="J49" s="1028">
        <f>C49*100.78</f>
        <v>2015.6</v>
      </c>
      <c r="K49" s="1028"/>
      <c r="L49" s="13"/>
    </row>
    <row r="50" spans="1:15">
      <c r="B50" t="s">
        <v>477</v>
      </c>
      <c r="C50" t="s">
        <v>478</v>
      </c>
      <c r="L50" s="682">
        <f>B5+B10+B14+B19+B29+B39</f>
        <v>126750</v>
      </c>
      <c r="M50" s="27" t="s">
        <v>6</v>
      </c>
    </row>
    <row r="51" spans="1:15" ht="15" customHeight="1">
      <c r="B51" t="s">
        <v>33</v>
      </c>
      <c r="C51" t="s">
        <v>479</v>
      </c>
      <c r="L51" s="682">
        <f>B44</f>
        <v>19750</v>
      </c>
      <c r="M51" s="27" t="s">
        <v>6</v>
      </c>
    </row>
    <row r="52" spans="1:15" ht="19.5" customHeight="1">
      <c r="B52" t="s">
        <v>480</v>
      </c>
      <c r="L52" s="688">
        <f>L50-L51</f>
        <v>107000</v>
      </c>
      <c r="M52" s="27" t="s">
        <v>6</v>
      </c>
    </row>
    <row r="53" spans="1:15" ht="25.5" customHeight="1">
      <c r="B53" s="946">
        <f>L52</f>
        <v>107000</v>
      </c>
      <c r="C53" s="946"/>
      <c r="D53" s="946"/>
      <c r="E53" s="946"/>
      <c r="F53" s="6" t="s">
        <v>6</v>
      </c>
      <c r="K53" s="682" t="str">
        <f>K44</f>
        <v xml:space="preserve"> @ Rs:</v>
      </c>
      <c r="L53" s="13">
        <f>J49</f>
        <v>2015.6</v>
      </c>
      <c r="M53" t="s">
        <v>27</v>
      </c>
      <c r="N53" t="s">
        <v>16</v>
      </c>
      <c r="O53" s="10">
        <f>B53*L53/1000</f>
        <v>215669.2</v>
      </c>
    </row>
    <row r="54" spans="1:15">
      <c r="K54" s="682"/>
      <c r="L54" s="13"/>
    </row>
    <row r="55" spans="1:15">
      <c r="K55" s="682"/>
      <c r="L55" s="13"/>
    </row>
    <row r="56" spans="1:15" ht="15.75">
      <c r="A56" s="679">
        <v>9</v>
      </c>
      <c r="B56" s="7" t="s">
        <v>303</v>
      </c>
      <c r="K56" s="682"/>
      <c r="L56" s="13"/>
    </row>
    <row r="57" spans="1:15" ht="15.75">
      <c r="B57" s="7" t="s">
        <v>304</v>
      </c>
      <c r="K57" s="682"/>
      <c r="L57" s="13"/>
    </row>
    <row r="58" spans="1:15" ht="15.75">
      <c r="B58" s="7" t="s">
        <v>305</v>
      </c>
      <c r="K58" s="682"/>
      <c r="L58" s="13"/>
    </row>
    <row r="59" spans="1:15" ht="15.75">
      <c r="A59" s="679" t="s">
        <v>481</v>
      </c>
      <c r="B59" s="7" t="s">
        <v>482</v>
      </c>
      <c r="C59">
        <v>1</v>
      </c>
      <c r="D59" t="s">
        <v>2</v>
      </c>
      <c r="E59">
        <f>E43</f>
        <v>3950</v>
      </c>
      <c r="F59" t="s">
        <v>2</v>
      </c>
      <c r="G59" s="678">
        <f>G38</f>
        <v>5.25</v>
      </c>
      <c r="H59" t="s">
        <v>2</v>
      </c>
      <c r="I59" s="2">
        <v>0.5</v>
      </c>
      <c r="J59" s="679" t="str">
        <f>J43</f>
        <v>=</v>
      </c>
      <c r="K59" s="679"/>
      <c r="L59" s="682">
        <f>C59*E59*G59*I59</f>
        <v>10368.75</v>
      </c>
      <c r="M59" s="27" t="s">
        <v>6</v>
      </c>
    </row>
    <row r="60" spans="1:15">
      <c r="B60" s="946">
        <f>L59</f>
        <v>10368.75</v>
      </c>
      <c r="C60" s="946"/>
      <c r="D60" s="946"/>
      <c r="E60" s="946"/>
      <c r="F60" s="6" t="s">
        <v>6</v>
      </c>
      <c r="K60" s="682" t="str">
        <f>K53</f>
        <v xml:space="preserve"> @ Rs:</v>
      </c>
      <c r="L60" s="13">
        <v>11288.75</v>
      </c>
      <c r="M60" t="str">
        <f>M53</f>
        <v>P% Cft</v>
      </c>
      <c r="N60" t="s">
        <v>16</v>
      </c>
      <c r="O60" s="10">
        <f>B60*L60/100</f>
        <v>1170502.265625</v>
      </c>
    </row>
    <row r="61" spans="1:15">
      <c r="K61" s="682"/>
      <c r="L61" s="13"/>
    </row>
    <row r="62" spans="1:15" ht="15.75">
      <c r="A62" s="679" t="s">
        <v>483</v>
      </c>
      <c r="B62" s="7" t="s">
        <v>484</v>
      </c>
      <c r="K62" s="682"/>
      <c r="L62" s="13"/>
    </row>
    <row r="63" spans="1:15">
      <c r="C63" s="2">
        <f>G59-2</f>
        <v>3.25</v>
      </c>
      <c r="D63" t="s">
        <v>2</v>
      </c>
      <c r="E63">
        <v>1.62</v>
      </c>
      <c r="J63" s="679" t="s">
        <v>21</v>
      </c>
      <c r="K63" s="682">
        <f>C63*E63</f>
        <v>5.2650000000000006</v>
      </c>
      <c r="L63" s="13"/>
    </row>
    <row r="64" spans="1:15" ht="15.75">
      <c r="B64" s="7" t="s">
        <v>35</v>
      </c>
      <c r="C64">
        <v>0.5</v>
      </c>
      <c r="D64" t="s">
        <v>2</v>
      </c>
      <c r="E64">
        <v>0.78500000000000003</v>
      </c>
      <c r="F64" t="s">
        <v>2</v>
      </c>
      <c r="G64">
        <f>C63</f>
        <v>3.25</v>
      </c>
      <c r="H64" t="s">
        <v>2</v>
      </c>
      <c r="I64">
        <f>G64</f>
        <v>3.25</v>
      </c>
      <c r="J64" s="679" t="s">
        <v>21</v>
      </c>
      <c r="K64" s="50">
        <f>C64*E64*G64*I64</f>
        <v>4.1457812499999998</v>
      </c>
      <c r="L64" s="13"/>
    </row>
    <row r="65" spans="1:15">
      <c r="K65" s="688">
        <f>K63-K64</f>
        <v>1.1192187500000008</v>
      </c>
      <c r="L65" s="13"/>
    </row>
    <row r="66" spans="1:15">
      <c r="B66" s="1026">
        <f>K65</f>
        <v>1.1192187500000008</v>
      </c>
      <c r="C66" s="1027"/>
      <c r="D66" s="1027"/>
      <c r="E66" s="1027"/>
      <c r="J66" s="679" t="str">
        <f>J64</f>
        <v>=</v>
      </c>
      <c r="K66" s="682">
        <f>B66/C67</f>
        <v>0.55960937500000041</v>
      </c>
      <c r="L66" s="13"/>
    </row>
    <row r="67" spans="1:15">
      <c r="C67" s="679">
        <v>2</v>
      </c>
      <c r="K67" s="682"/>
      <c r="L67" s="13"/>
    </row>
    <row r="68" spans="1:15" ht="13.5" customHeight="1">
      <c r="C68">
        <v>2</v>
      </c>
      <c r="D68" t="s">
        <v>2</v>
      </c>
      <c r="E68">
        <f>E59</f>
        <v>3950</v>
      </c>
      <c r="F68" t="s">
        <v>2</v>
      </c>
      <c r="G68" s="2">
        <f>K66</f>
        <v>0.55960937500000041</v>
      </c>
      <c r="J68" s="679" t="s">
        <v>3</v>
      </c>
      <c r="K68" s="679"/>
      <c r="L68">
        <v>26656</v>
      </c>
      <c r="M68" s="27" t="s">
        <v>6</v>
      </c>
    </row>
    <row r="69" spans="1:15" ht="16.5" customHeight="1">
      <c r="B69" s="6" t="s">
        <v>485</v>
      </c>
      <c r="C69">
        <v>1</v>
      </c>
      <c r="D69" t="s">
        <v>2</v>
      </c>
      <c r="E69">
        <f>E68</f>
        <v>3950</v>
      </c>
      <c r="F69" t="s">
        <v>2</v>
      </c>
      <c r="G69" s="2">
        <f>G59-1</f>
        <v>4.25</v>
      </c>
      <c r="H69" s="6" t="s">
        <v>2</v>
      </c>
      <c r="I69" s="2">
        <v>0.5</v>
      </c>
      <c r="J69" s="679" t="s">
        <v>3</v>
      </c>
      <c r="K69" s="679"/>
      <c r="L69" s="682">
        <f>C69*E69*G69*I69</f>
        <v>8393.75</v>
      </c>
      <c r="M69" s="27" t="s">
        <v>6</v>
      </c>
    </row>
    <row r="70" spans="1:15" ht="16.5" customHeight="1">
      <c r="B70" s="6" t="s">
        <v>314</v>
      </c>
      <c r="C70">
        <v>2</v>
      </c>
      <c r="D70" t="s">
        <v>2</v>
      </c>
      <c r="E70">
        <f>E69</f>
        <v>3950</v>
      </c>
      <c r="F70" t="s">
        <v>2</v>
      </c>
      <c r="G70" s="2">
        <v>0.5</v>
      </c>
      <c r="H70" s="6" t="s">
        <v>2</v>
      </c>
      <c r="I70" s="2">
        <v>5</v>
      </c>
      <c r="J70" s="679" t="s">
        <v>3</v>
      </c>
      <c r="K70" s="679"/>
      <c r="L70" s="682">
        <f>C70*E70*G70*I70</f>
        <v>19750</v>
      </c>
      <c r="M70" s="27" t="s">
        <v>6</v>
      </c>
    </row>
    <row r="71" spans="1:15" ht="16.5" customHeight="1">
      <c r="B71" s="6"/>
      <c r="G71" s="2"/>
      <c r="H71" s="6"/>
      <c r="I71" s="2"/>
      <c r="J71" s="679"/>
      <c r="K71" s="679"/>
      <c r="L71" s="688">
        <f>SUM(L68:L70)</f>
        <v>54799.75</v>
      </c>
      <c r="M71" s="27" t="s">
        <v>6</v>
      </c>
    </row>
    <row r="72" spans="1:15" ht="18.75" customHeight="1">
      <c r="B72" s="946">
        <f>L71</f>
        <v>54799.75</v>
      </c>
      <c r="C72" s="947"/>
      <c r="D72" s="947"/>
      <c r="E72" s="947"/>
      <c r="F72" s="6" t="s">
        <v>6</v>
      </c>
      <c r="K72" s="682" t="str">
        <f>K60</f>
        <v xml:space="preserve"> @ Rs:</v>
      </c>
      <c r="L72" s="13">
        <v>14429.25</v>
      </c>
      <c r="M72" t="str">
        <f>M60</f>
        <v>P% Cft</v>
      </c>
      <c r="N72" t="s">
        <v>16</v>
      </c>
      <c r="O72" s="10">
        <f>B72*L72/100</f>
        <v>7907192.9268749999</v>
      </c>
    </row>
    <row r="73" spans="1:15">
      <c r="K73" s="682"/>
      <c r="L73" s="13"/>
    </row>
    <row r="74" spans="1:15" ht="15.75">
      <c r="A74" s="679">
        <v>10</v>
      </c>
      <c r="B74" s="7" t="s">
        <v>486</v>
      </c>
      <c r="K74" s="682"/>
      <c r="L74" s="13"/>
    </row>
    <row r="75" spans="1:15" ht="15.75">
      <c r="B75" s="7" t="s">
        <v>487</v>
      </c>
      <c r="K75" s="682"/>
      <c r="L75" s="13"/>
    </row>
    <row r="76" spans="1:15">
      <c r="B76" s="49" t="s">
        <v>488</v>
      </c>
      <c r="J76" s="679"/>
      <c r="K76" s="682"/>
      <c r="L76" s="13"/>
    </row>
    <row r="77" spans="1:15" ht="15.75">
      <c r="B77" s="7" t="s">
        <v>489</v>
      </c>
      <c r="C77">
        <v>0.5</v>
      </c>
      <c r="D77" s="6" t="s">
        <v>2</v>
      </c>
      <c r="E77">
        <v>1</v>
      </c>
      <c r="F77" t="s">
        <v>2</v>
      </c>
      <c r="G77">
        <v>3.14</v>
      </c>
      <c r="H77" t="s">
        <v>2</v>
      </c>
      <c r="I77">
        <f>E70</f>
        <v>3950</v>
      </c>
      <c r="J77" s="691" t="s">
        <v>2</v>
      </c>
      <c r="K77" s="685">
        <v>3.25</v>
      </c>
      <c r="L77" s="27" t="s">
        <v>21</v>
      </c>
      <c r="M77" s="2">
        <f>C77*E77*G77*I77*K77</f>
        <v>20154.875</v>
      </c>
      <c r="N77" s="6" t="s">
        <v>8</v>
      </c>
    </row>
    <row r="78" spans="1:15" ht="19.5" customHeight="1">
      <c r="B78" s="7" t="s">
        <v>490</v>
      </c>
      <c r="C78">
        <v>1</v>
      </c>
      <c r="D78" s="6" t="s">
        <v>2</v>
      </c>
      <c r="E78">
        <v>2</v>
      </c>
      <c r="F78" t="s">
        <v>2</v>
      </c>
      <c r="G78">
        <f>E68</f>
        <v>3950</v>
      </c>
      <c r="H78" t="s">
        <v>2</v>
      </c>
      <c r="I78" s="2">
        <f>I70</f>
        <v>5</v>
      </c>
      <c r="J78" s="691"/>
      <c r="K78" s="50"/>
      <c r="L78" s="27"/>
      <c r="M78" s="215">
        <f>C78*E78*G78*I78</f>
        <v>39500</v>
      </c>
      <c r="N78" s="6" t="s">
        <v>8</v>
      </c>
    </row>
    <row r="79" spans="1:15" ht="15.75">
      <c r="B79" s="7"/>
      <c r="D79" s="6"/>
      <c r="I79" s="2"/>
      <c r="J79" s="691"/>
      <c r="K79" s="50"/>
      <c r="L79" s="27"/>
      <c r="M79" s="2">
        <f>SUM(M77:M78)</f>
        <v>59654.875</v>
      </c>
      <c r="N79" s="6" t="s">
        <v>8</v>
      </c>
    </row>
    <row r="80" spans="1:15" ht="18.75" customHeight="1">
      <c r="B80" s="946">
        <f>M79</f>
        <v>59654.875</v>
      </c>
      <c r="C80" s="947"/>
      <c r="D80" s="947"/>
      <c r="E80" s="947"/>
      <c r="F80" s="6" t="s">
        <v>8</v>
      </c>
      <c r="K80" s="685" t="s">
        <v>17</v>
      </c>
      <c r="L80" s="13">
        <v>3127.41</v>
      </c>
      <c r="M80" s="6" t="s">
        <v>7</v>
      </c>
      <c r="N80" t="s">
        <v>16</v>
      </c>
      <c r="O80" s="10">
        <f>B80*L80/100</f>
        <v>1865652.5262374999</v>
      </c>
    </row>
    <row r="81" spans="1:13">
      <c r="K81" s="682"/>
      <c r="L81" s="13"/>
    </row>
    <row r="82" spans="1:13">
      <c r="A82" s="679">
        <v>11</v>
      </c>
      <c r="B82" s="225" t="s">
        <v>308</v>
      </c>
      <c r="C82" s="133"/>
      <c r="D82" s="133"/>
      <c r="E82" s="133"/>
      <c r="F82" s="133"/>
      <c r="G82" s="133"/>
      <c r="H82" s="133"/>
      <c r="I82" s="133"/>
      <c r="J82" s="133"/>
      <c r="K82" s="557"/>
      <c r="L82" s="13"/>
    </row>
    <row r="83" spans="1:13">
      <c r="B83" t="s">
        <v>309</v>
      </c>
      <c r="K83" s="682"/>
      <c r="L83" s="13"/>
    </row>
    <row r="84" spans="1:13">
      <c r="B84" t="s">
        <v>310</v>
      </c>
      <c r="K84" s="682"/>
      <c r="L84" s="13"/>
    </row>
    <row r="85" spans="1:13">
      <c r="B85" t="s">
        <v>311</v>
      </c>
      <c r="K85" s="682"/>
      <c r="L85" s="13"/>
    </row>
    <row r="86" spans="1:13">
      <c r="B86" t="s">
        <v>312</v>
      </c>
      <c r="K86" s="682"/>
      <c r="L86" s="13"/>
    </row>
    <row r="87" spans="1:13">
      <c r="B87" t="s">
        <v>313</v>
      </c>
      <c r="K87" s="682"/>
      <c r="L87" s="13"/>
    </row>
    <row r="88" spans="1:13" ht="20.25" customHeight="1">
      <c r="B88" s="6" t="s">
        <v>491</v>
      </c>
      <c r="C88">
        <v>2</v>
      </c>
      <c r="D88" t="s">
        <v>2</v>
      </c>
      <c r="E88">
        <f>E68</f>
        <v>3950</v>
      </c>
      <c r="F88" t="s">
        <v>2</v>
      </c>
      <c r="G88">
        <v>0.87</v>
      </c>
      <c r="H88" t="s">
        <v>2</v>
      </c>
      <c r="I88" s="2">
        <v>0.5</v>
      </c>
      <c r="J88" s="679" t="s">
        <v>3</v>
      </c>
      <c r="K88" s="679"/>
      <c r="L88" s="682">
        <f>C88*E88*G88*I88</f>
        <v>3436.5</v>
      </c>
      <c r="M88" s="27" t="s">
        <v>6</v>
      </c>
    </row>
    <row r="89" spans="1:13" ht="16.5" customHeight="1">
      <c r="B89" t="s">
        <v>492</v>
      </c>
      <c r="C89">
        <v>1</v>
      </c>
      <c r="D89" t="s">
        <v>2</v>
      </c>
      <c r="E89">
        <f>E88</f>
        <v>3950</v>
      </c>
      <c r="F89" t="s">
        <v>2</v>
      </c>
      <c r="G89" s="2">
        <f>G69</f>
        <v>4.25</v>
      </c>
      <c r="H89" t="s">
        <v>2</v>
      </c>
      <c r="I89" s="2">
        <v>0.5</v>
      </c>
      <c r="J89" s="691" t="s">
        <v>21</v>
      </c>
      <c r="K89" s="691"/>
      <c r="L89" s="685">
        <f>C89*E89*G89*I89</f>
        <v>8393.75</v>
      </c>
      <c r="M89" s="27" t="s">
        <v>6</v>
      </c>
    </row>
    <row r="90" spans="1:13">
      <c r="L90" s="688">
        <f>SUM(L88:L89)</f>
        <v>11830.25</v>
      </c>
      <c r="M90" s="27" t="s">
        <v>6</v>
      </c>
    </row>
    <row r="91" spans="1:13">
      <c r="L91" s="688"/>
      <c r="M91" s="27"/>
    </row>
    <row r="92" spans="1:13">
      <c r="L92" s="688"/>
      <c r="M92" s="27"/>
    </row>
    <row r="93" spans="1:13">
      <c r="B93" t="s">
        <v>33</v>
      </c>
      <c r="L93" s="682"/>
      <c r="M93" s="13"/>
    </row>
    <row r="94" spans="1:13">
      <c r="B94" t="s">
        <v>493</v>
      </c>
      <c r="C94">
        <f>E88</f>
        <v>3950</v>
      </c>
      <c r="D94" t="s">
        <v>31</v>
      </c>
      <c r="E94" s="679">
        <v>40</v>
      </c>
      <c r="F94" t="s">
        <v>3</v>
      </c>
      <c r="G94">
        <f>C94/E94</f>
        <v>98.75</v>
      </c>
      <c r="J94" t="s">
        <v>15</v>
      </c>
      <c r="L94" s="682"/>
      <c r="M94" s="13"/>
    </row>
    <row r="95" spans="1:13">
      <c r="C95">
        <f>G94</f>
        <v>98.75</v>
      </c>
      <c r="D95" t="s">
        <v>2</v>
      </c>
      <c r="E95" s="679">
        <v>2</v>
      </c>
      <c r="F95" t="s">
        <v>2</v>
      </c>
      <c r="G95" s="2">
        <f>I89</f>
        <v>0.5</v>
      </c>
      <c r="H95" t="s">
        <v>2</v>
      </c>
      <c r="I95" s="215">
        <v>2</v>
      </c>
      <c r="J95" s="679" t="s">
        <v>3</v>
      </c>
      <c r="K95" s="679"/>
      <c r="L95" s="682">
        <f>C95*E95*G95*I95</f>
        <v>197.5</v>
      </c>
      <c r="M95" s="27" t="s">
        <v>6</v>
      </c>
    </row>
    <row r="96" spans="1:13">
      <c r="B96" s="6" t="s">
        <v>494</v>
      </c>
      <c r="C96">
        <f>C94</f>
        <v>3950</v>
      </c>
      <c r="D96" t="s">
        <v>31</v>
      </c>
      <c r="E96" s="679">
        <v>40</v>
      </c>
      <c r="F96" t="s">
        <v>3</v>
      </c>
      <c r="G96">
        <f>C96/E96</f>
        <v>98.75</v>
      </c>
      <c r="J96" t="s">
        <v>15</v>
      </c>
      <c r="L96" s="682"/>
      <c r="M96" s="13"/>
    </row>
    <row r="97" spans="1:15">
      <c r="C97">
        <f>G96</f>
        <v>98.75</v>
      </c>
      <c r="D97" t="s">
        <v>2</v>
      </c>
      <c r="E97" s="678">
        <v>1.5</v>
      </c>
      <c r="F97" t="s">
        <v>2</v>
      </c>
      <c r="G97">
        <f>G88</f>
        <v>0.87</v>
      </c>
      <c r="H97" t="s">
        <v>2</v>
      </c>
      <c r="I97" s="2">
        <v>0.5</v>
      </c>
      <c r="J97" s="679" t="s">
        <v>3</v>
      </c>
      <c r="K97" s="679"/>
      <c r="L97" s="682">
        <f>C97*E97*G97*I97</f>
        <v>64.434375000000003</v>
      </c>
      <c r="M97" s="27" t="s">
        <v>6</v>
      </c>
    </row>
    <row r="98" spans="1:15">
      <c r="J98" s="679"/>
      <c r="K98" s="679"/>
      <c r="L98" s="682">
        <f>SUM(L95:L97)</f>
        <v>261.93437499999999</v>
      </c>
      <c r="M98" s="27" t="s">
        <v>6</v>
      </c>
    </row>
    <row r="99" spans="1:15">
      <c r="B99" s="6" t="s">
        <v>495</v>
      </c>
      <c r="D99" s="917">
        <f>L90</f>
        <v>11830.25</v>
      </c>
      <c r="E99" s="917"/>
      <c r="F99" s="6" t="s">
        <v>15</v>
      </c>
      <c r="G99" s="6" t="s">
        <v>318</v>
      </c>
      <c r="I99" s="565">
        <f>L98</f>
        <v>261.93437499999999</v>
      </c>
      <c r="J99" s="691" t="s">
        <v>21</v>
      </c>
      <c r="K99" s="691"/>
      <c r="L99" s="682">
        <f>D99-I99</f>
        <v>11568.315624999999</v>
      </c>
      <c r="M99" s="27" t="s">
        <v>6</v>
      </c>
    </row>
    <row r="100" spans="1:15">
      <c r="B100" s="946">
        <f>L99</f>
        <v>11568.315624999999</v>
      </c>
      <c r="C100" s="946"/>
      <c r="D100" s="946"/>
      <c r="E100" s="946"/>
      <c r="F100" s="6" t="s">
        <v>6</v>
      </c>
      <c r="K100" s="682" t="str">
        <f>K72</f>
        <v xml:space="preserve"> @ Rs:</v>
      </c>
      <c r="L100" s="13">
        <v>337</v>
      </c>
      <c r="M100" t="s">
        <v>48</v>
      </c>
      <c r="N100" t="s">
        <v>16</v>
      </c>
      <c r="O100" s="10">
        <f>B100*L100</f>
        <v>3898522.3656249996</v>
      </c>
    </row>
    <row r="101" spans="1:15">
      <c r="K101" s="682"/>
      <c r="L101" s="13"/>
    </row>
    <row r="102" spans="1:15" ht="15.75">
      <c r="A102" s="679">
        <v>12</v>
      </c>
      <c r="B102" s="7" t="s">
        <v>319</v>
      </c>
      <c r="K102" s="682"/>
      <c r="L102" s="13"/>
    </row>
    <row r="103" spans="1:15" ht="15.75">
      <c r="B103" s="7" t="s">
        <v>320</v>
      </c>
      <c r="K103" s="682"/>
      <c r="L103" s="13"/>
    </row>
    <row r="104" spans="1:15" ht="15.75">
      <c r="B104" s="7" t="s">
        <v>321</v>
      </c>
      <c r="K104" s="682"/>
      <c r="L104" s="13"/>
    </row>
    <row r="105" spans="1:15">
      <c r="B105" s="912">
        <f>B100</f>
        <v>11568.315624999999</v>
      </c>
      <c r="C105" s="913"/>
      <c r="D105" t="s">
        <v>2</v>
      </c>
      <c r="E105">
        <v>4</v>
      </c>
      <c r="F105" t="s">
        <v>181</v>
      </c>
      <c r="G105">
        <v>112</v>
      </c>
      <c r="J105" s="679" t="s">
        <v>21</v>
      </c>
      <c r="K105" s="679"/>
      <c r="L105" s="682">
        <f>B105*E105/G105</f>
        <v>413.15412946428569</v>
      </c>
      <c r="M105" s="27" t="s">
        <v>9</v>
      </c>
    </row>
    <row r="106" spans="1:15">
      <c r="B106" s="1014">
        <f>L105</f>
        <v>413.15412946428569</v>
      </c>
      <c r="C106" s="1014"/>
      <c r="D106" s="1014"/>
      <c r="E106" s="1014"/>
      <c r="F106" s="6" t="s">
        <v>9</v>
      </c>
      <c r="K106" s="682" t="str">
        <f>K100</f>
        <v xml:space="preserve"> @ Rs:</v>
      </c>
      <c r="L106" s="13">
        <v>5001.7</v>
      </c>
      <c r="M106" t="s">
        <v>60</v>
      </c>
      <c r="N106" t="s">
        <v>16</v>
      </c>
      <c r="O106" s="10">
        <v>12451132</v>
      </c>
    </row>
    <row r="107" spans="1:15">
      <c r="K107" s="682"/>
      <c r="L107" s="13"/>
    </row>
    <row r="108" spans="1:15" ht="15.75">
      <c r="A108" s="679">
        <v>13</v>
      </c>
      <c r="B108" s="7" t="s">
        <v>496</v>
      </c>
      <c r="K108" s="682"/>
      <c r="L108" s="13"/>
    </row>
    <row r="109" spans="1:15" ht="15.75">
      <c r="B109" s="7" t="s">
        <v>497</v>
      </c>
      <c r="K109" s="682"/>
      <c r="L109" s="13"/>
    </row>
    <row r="110" spans="1:15">
      <c r="C110">
        <v>1</v>
      </c>
      <c r="D110" t="s">
        <v>2</v>
      </c>
      <c r="E110">
        <f>E88</f>
        <v>3950</v>
      </c>
      <c r="F110" t="s">
        <v>2</v>
      </c>
      <c r="G110" s="2">
        <v>4.5</v>
      </c>
      <c r="H110" t="s">
        <v>2</v>
      </c>
      <c r="I110" s="2">
        <v>0.37</v>
      </c>
      <c r="J110" s="679" t="str">
        <f>J105</f>
        <v>=</v>
      </c>
      <c r="K110" s="679"/>
      <c r="L110" s="682">
        <f>C110*E110*G110*I110</f>
        <v>6576.75</v>
      </c>
      <c r="M110" s="27" t="s">
        <v>6</v>
      </c>
    </row>
    <row r="111" spans="1:15" ht="17.25" customHeight="1">
      <c r="C111">
        <v>2</v>
      </c>
      <c r="D111" t="s">
        <v>2</v>
      </c>
      <c r="E111">
        <f>E110</f>
        <v>3950</v>
      </c>
      <c r="F111" t="s">
        <v>2</v>
      </c>
      <c r="G111">
        <v>0.37</v>
      </c>
      <c r="H111" t="s">
        <v>2</v>
      </c>
      <c r="I111" s="2">
        <v>3.37</v>
      </c>
      <c r="J111" s="679" t="str">
        <f>J110</f>
        <v>=</v>
      </c>
      <c r="K111" s="679"/>
      <c r="L111" s="50">
        <f>C111*E111*G111*I111</f>
        <v>9850.51</v>
      </c>
      <c r="M111" s="27" t="s">
        <v>6</v>
      </c>
    </row>
    <row r="112" spans="1:15" ht="14.25" customHeight="1">
      <c r="L112" s="688">
        <f>L110+L111</f>
        <v>16427.260000000002</v>
      </c>
      <c r="M112" s="27" t="s">
        <v>6</v>
      </c>
    </row>
    <row r="113" spans="1:15">
      <c r="B113" s="946">
        <f>L112</f>
        <v>16427.260000000002</v>
      </c>
      <c r="C113" s="946"/>
      <c r="D113" s="946"/>
      <c r="E113" s="946"/>
      <c r="F113" s="6" t="s">
        <v>6</v>
      </c>
      <c r="K113" s="682" t="str">
        <f>K106</f>
        <v xml:space="preserve"> @ Rs:</v>
      </c>
      <c r="L113" s="13">
        <v>12899.7</v>
      </c>
      <c r="M113" t="s">
        <v>12</v>
      </c>
      <c r="N113" t="s">
        <v>16</v>
      </c>
      <c r="O113" s="10">
        <f>B113*L113/100</f>
        <v>2119067.2582200002</v>
      </c>
    </row>
    <row r="114" spans="1:15">
      <c r="K114" s="682"/>
      <c r="L114" s="13"/>
    </row>
    <row r="115" spans="1:15">
      <c r="A115" s="679">
        <v>14</v>
      </c>
      <c r="B115" t="s">
        <v>498</v>
      </c>
      <c r="K115" s="682"/>
      <c r="L115" s="13"/>
    </row>
    <row r="116" spans="1:15">
      <c r="B116" t="s">
        <v>499</v>
      </c>
      <c r="K116" s="682"/>
      <c r="L116" s="13"/>
    </row>
    <row r="117" spans="1:15">
      <c r="C117">
        <v>1</v>
      </c>
      <c r="D117" t="s">
        <v>2</v>
      </c>
      <c r="E117">
        <f>E111</f>
        <v>3950</v>
      </c>
      <c r="F117" t="s">
        <v>2</v>
      </c>
      <c r="G117">
        <f>G110</f>
        <v>4.5</v>
      </c>
      <c r="H117" t="s">
        <v>2</v>
      </c>
      <c r="I117">
        <f>I110</f>
        <v>0.37</v>
      </c>
      <c r="J117" s="679" t="str">
        <f>J111</f>
        <v>=</v>
      </c>
      <c r="K117" s="679"/>
      <c r="L117" s="682">
        <f>C117*E117*G117*I117</f>
        <v>6576.75</v>
      </c>
      <c r="M117" s="27" t="s">
        <v>6</v>
      </c>
    </row>
    <row r="118" spans="1:15" ht="20.25" customHeight="1">
      <c r="B118" s="1029">
        <f>L117</f>
        <v>6576.75</v>
      </c>
      <c r="C118" s="1029"/>
      <c r="D118" s="1029"/>
      <c r="E118" s="1029"/>
      <c r="F118" s="6" t="s">
        <v>6</v>
      </c>
      <c r="K118" s="682" t="str">
        <f>K113</f>
        <v xml:space="preserve"> @ Rs:</v>
      </c>
      <c r="L118" s="13">
        <v>968</v>
      </c>
      <c r="M118" t="s">
        <v>12</v>
      </c>
      <c r="N118" t="s">
        <v>16</v>
      </c>
      <c r="O118" s="10">
        <f>B118*L118/100</f>
        <v>63662.94</v>
      </c>
    </row>
    <row r="119" spans="1:15">
      <c r="K119" s="682"/>
      <c r="L119" s="13"/>
    </row>
    <row r="120" spans="1:15">
      <c r="A120" s="679">
        <v>15</v>
      </c>
      <c r="B120" t="s">
        <v>500</v>
      </c>
      <c r="K120" s="682"/>
      <c r="L120" s="13"/>
    </row>
    <row r="121" spans="1:15" ht="18" customHeight="1">
      <c r="C121">
        <v>1</v>
      </c>
      <c r="D121" t="s">
        <v>2</v>
      </c>
      <c r="E121">
        <f>E117</f>
        <v>3950</v>
      </c>
      <c r="F121" t="s">
        <v>2</v>
      </c>
      <c r="G121">
        <v>3.92</v>
      </c>
      <c r="H121" t="s">
        <v>15</v>
      </c>
      <c r="J121" s="679" t="str">
        <f>J117</f>
        <v>=</v>
      </c>
      <c r="K121" s="679"/>
      <c r="L121" s="682">
        <f>C121*E121*G121</f>
        <v>15484</v>
      </c>
      <c r="M121" s="27" t="s">
        <v>8</v>
      </c>
    </row>
    <row r="122" spans="1:15">
      <c r="C122">
        <v>2</v>
      </c>
      <c r="D122" t="s">
        <v>2</v>
      </c>
      <c r="E122">
        <f>E121</f>
        <v>3950</v>
      </c>
      <c r="F122" t="s">
        <v>2</v>
      </c>
      <c r="G122">
        <f>I111</f>
        <v>3.37</v>
      </c>
      <c r="J122" s="679" t="s">
        <v>3</v>
      </c>
      <c r="K122" s="679"/>
      <c r="L122" s="50">
        <f>C122*E122*G122</f>
        <v>26623</v>
      </c>
      <c r="M122" s="27" t="s">
        <v>8</v>
      </c>
    </row>
    <row r="123" spans="1:15" ht="18" customHeight="1">
      <c r="L123" s="688">
        <f>L121+L122</f>
        <v>42107</v>
      </c>
      <c r="M123" s="27" t="s">
        <v>8</v>
      </c>
    </row>
    <row r="124" spans="1:15">
      <c r="B124" s="946">
        <f>L123</f>
        <v>42107</v>
      </c>
      <c r="C124" s="946"/>
      <c r="D124" s="946"/>
      <c r="E124" s="946"/>
      <c r="F124" s="6" t="s">
        <v>8</v>
      </c>
      <c r="K124" s="682" t="str">
        <f>K118</f>
        <v xml:space="preserve"> @ Rs:</v>
      </c>
      <c r="L124" s="13">
        <v>1213.58</v>
      </c>
      <c r="M124" t="s">
        <v>7</v>
      </c>
      <c r="N124" t="s">
        <v>16</v>
      </c>
      <c r="O124" s="10">
        <f>B124*L124/100</f>
        <v>511002.13059999997</v>
      </c>
    </row>
    <row r="125" spans="1:15">
      <c r="K125" s="682"/>
      <c r="L125" s="13"/>
    </row>
    <row r="126" spans="1:15">
      <c r="A126" s="679">
        <v>16</v>
      </c>
      <c r="B126" t="s">
        <v>501</v>
      </c>
      <c r="K126" s="682"/>
      <c r="L126" s="13"/>
    </row>
    <row r="127" spans="1:15">
      <c r="C127">
        <f>E122</f>
        <v>3950</v>
      </c>
      <c r="D127" t="s">
        <v>181</v>
      </c>
      <c r="E127" s="215">
        <v>40</v>
      </c>
      <c r="J127" s="679" t="s">
        <v>21</v>
      </c>
      <c r="K127" s="682">
        <f>C127/E127</f>
        <v>98.75</v>
      </c>
      <c r="L127" s="13"/>
    </row>
    <row r="128" spans="1:15" ht="18" customHeight="1">
      <c r="C128" s="2">
        <f>K127</f>
        <v>98.75</v>
      </c>
      <c r="D128" t="s">
        <v>2</v>
      </c>
      <c r="E128" s="2">
        <v>1.5</v>
      </c>
      <c r="J128" s="679" t="str">
        <f>J127</f>
        <v>=</v>
      </c>
      <c r="K128" s="679"/>
      <c r="L128" s="682">
        <f>C128*E128</f>
        <v>148.125</v>
      </c>
      <c r="M128" s="27" t="s">
        <v>9</v>
      </c>
    </row>
    <row r="129" spans="1:17" ht="17.25" customHeight="1">
      <c r="B129" s="946">
        <f>L128</f>
        <v>148.125</v>
      </c>
      <c r="C129" s="947"/>
      <c r="D129" s="947"/>
      <c r="E129" s="947"/>
      <c r="F129" s="6" t="s">
        <v>9</v>
      </c>
      <c r="K129" s="558" t="s">
        <v>213</v>
      </c>
      <c r="L129" s="13">
        <v>6985</v>
      </c>
      <c r="M129" s="683" t="s">
        <v>60</v>
      </c>
      <c r="N129" s="683" t="s">
        <v>16</v>
      </c>
      <c r="O129" s="10">
        <f>B129*L129</f>
        <v>1034653.125</v>
      </c>
    </row>
    <row r="130" spans="1:17">
      <c r="K130" s="682"/>
      <c r="L130" s="13"/>
    </row>
    <row r="131" spans="1:17" ht="15.75">
      <c r="A131" s="679">
        <v>17</v>
      </c>
      <c r="B131" s="7" t="s">
        <v>502</v>
      </c>
      <c r="K131" s="682"/>
      <c r="L131" s="13"/>
    </row>
    <row r="132" spans="1:17" ht="15.75">
      <c r="B132" s="7" t="s">
        <v>503</v>
      </c>
      <c r="K132" s="682"/>
      <c r="L132" s="13"/>
    </row>
    <row r="133" spans="1:17" ht="15.75">
      <c r="B133" s="7" t="s">
        <v>504</v>
      </c>
      <c r="K133" s="682"/>
      <c r="L133" s="13"/>
    </row>
    <row r="134" spans="1:17" ht="15.75">
      <c r="B134" s="7" t="s">
        <v>505</v>
      </c>
      <c r="K134" s="682"/>
      <c r="L134" s="13"/>
    </row>
    <row r="135" spans="1:17">
      <c r="C135">
        <f>C127</f>
        <v>3950</v>
      </c>
      <c r="D135" t="s">
        <v>181</v>
      </c>
      <c r="E135">
        <v>40</v>
      </c>
      <c r="J135" s="679" t="str">
        <f>J128</f>
        <v>=</v>
      </c>
      <c r="K135" s="136">
        <f>C135/E135</f>
        <v>98.75</v>
      </c>
      <c r="L135" s="13"/>
    </row>
    <row r="136" spans="1:17">
      <c r="B136" t="s">
        <v>506</v>
      </c>
      <c r="C136" s="2">
        <f>K135</f>
        <v>98.75</v>
      </c>
      <c r="D136" t="s">
        <v>2</v>
      </c>
      <c r="E136">
        <v>0.25</v>
      </c>
      <c r="J136" s="679" t="s">
        <v>21</v>
      </c>
      <c r="K136" s="679"/>
      <c r="L136" s="682">
        <f>C136*E136</f>
        <v>24.6875</v>
      </c>
      <c r="M136" s="27" t="s">
        <v>9</v>
      </c>
    </row>
    <row r="137" spans="1:17">
      <c r="B137" s="946">
        <f>L136</f>
        <v>24.6875</v>
      </c>
      <c r="C137" s="946"/>
      <c r="D137" s="946"/>
      <c r="E137" s="946"/>
      <c r="F137" s="6" t="s">
        <v>9</v>
      </c>
      <c r="K137" s="682" t="str">
        <f>K129</f>
        <v>@Rs</v>
      </c>
      <c r="L137" s="13">
        <v>6420.61</v>
      </c>
      <c r="M137" s="683" t="s">
        <v>60</v>
      </c>
      <c r="N137" s="683" t="s">
        <v>16</v>
      </c>
      <c r="O137" s="28">
        <f>B137*L137</f>
        <v>158508.80937499998</v>
      </c>
    </row>
    <row r="138" spans="1:17">
      <c r="B138" s="341"/>
      <c r="C138" s="342"/>
      <c r="D138" s="342"/>
      <c r="E138" s="342"/>
      <c r="K138" s="682"/>
      <c r="L138" s="13"/>
      <c r="M138" s="683"/>
      <c r="N138" s="683"/>
      <c r="O138" s="177"/>
    </row>
    <row r="139" spans="1:17">
      <c r="A139" s="679">
        <v>18</v>
      </c>
      <c r="B139" s="28" t="s">
        <v>507</v>
      </c>
      <c r="C139" s="342"/>
      <c r="D139" s="342"/>
      <c r="E139" s="342"/>
      <c r="K139" s="682"/>
      <c r="L139" s="13"/>
      <c r="M139" s="683"/>
      <c r="N139" s="683"/>
      <c r="O139" s="177"/>
    </row>
    <row r="140" spans="1:17">
      <c r="B140" s="28" t="s">
        <v>508</v>
      </c>
      <c r="C140" s="342"/>
      <c r="D140" s="342"/>
      <c r="E140" s="342"/>
      <c r="K140" s="682"/>
      <c r="L140" s="13"/>
      <c r="M140" s="683"/>
      <c r="N140" s="683"/>
      <c r="O140" s="177"/>
    </row>
    <row r="141" spans="1:17">
      <c r="B141" s="28" t="s">
        <v>509</v>
      </c>
      <c r="C141" s="342"/>
      <c r="D141" s="342"/>
      <c r="E141" s="691">
        <f>L89</f>
        <v>8393.75</v>
      </c>
      <c r="F141" t="s">
        <v>2</v>
      </c>
      <c r="G141">
        <v>0.17599999999999999</v>
      </c>
      <c r="H141" t="s">
        <v>2</v>
      </c>
      <c r="I141">
        <v>0.25</v>
      </c>
      <c r="J141" s="679" t="s">
        <v>3</v>
      </c>
      <c r="K141" s="679"/>
      <c r="L141" s="682">
        <f>E141*G141*I141</f>
        <v>369.32499999999999</v>
      </c>
      <c r="M141" s="13" t="s">
        <v>510</v>
      </c>
      <c r="N141" s="683"/>
      <c r="O141" s="683"/>
      <c r="P141" s="177"/>
    </row>
    <row r="142" spans="1:17">
      <c r="B142" s="946">
        <f>L141</f>
        <v>369.32499999999999</v>
      </c>
      <c r="C142" s="946"/>
      <c r="D142" s="946"/>
      <c r="E142" s="946"/>
      <c r="F142" s="6" t="s">
        <v>510</v>
      </c>
      <c r="K142" s="682" t="str">
        <f>K137</f>
        <v>@Rs</v>
      </c>
      <c r="L142" s="13">
        <v>80</v>
      </c>
      <c r="M142" s="683" t="s">
        <v>511</v>
      </c>
      <c r="N142" s="683" t="s">
        <v>16</v>
      </c>
      <c r="O142" s="28">
        <f>B142*L142</f>
        <v>29546</v>
      </c>
    </row>
    <row r="143" spans="1:17">
      <c r="B143" s="341"/>
      <c r="C143" s="342"/>
      <c r="D143" s="342"/>
      <c r="E143" s="342"/>
      <c r="K143" s="680"/>
      <c r="L143" s="683"/>
      <c r="M143" s="683"/>
      <c r="N143" s="689"/>
      <c r="O143" s="559"/>
    </row>
    <row r="144" spans="1:17" s="560" customFormat="1">
      <c r="A144" s="560">
        <v>19</v>
      </c>
      <c r="B144" s="561" t="s">
        <v>512</v>
      </c>
      <c r="C144" s="562"/>
      <c r="D144" s="562"/>
      <c r="E144" s="562"/>
      <c r="M144" s="557"/>
      <c r="N144" s="563"/>
      <c r="O144" s="64"/>
      <c r="P144" s="64"/>
      <c r="Q144" s="564"/>
    </row>
    <row r="145" spans="2:17" s="560" customFormat="1">
      <c r="B145" s="561" t="s">
        <v>513</v>
      </c>
      <c r="C145" s="562"/>
      <c r="D145" s="562"/>
      <c r="E145" s="562"/>
      <c r="M145" s="557"/>
      <c r="N145" s="563"/>
      <c r="O145" s="64"/>
      <c r="P145" s="64"/>
      <c r="Q145" s="564"/>
    </row>
    <row r="146" spans="2:17" s="560" customFormat="1">
      <c r="B146" s="561" t="s">
        <v>514</v>
      </c>
      <c r="C146" s="562"/>
      <c r="D146" s="562"/>
      <c r="E146" s="361"/>
      <c r="K146" s="361"/>
      <c r="L146" s="361"/>
      <c r="M146" s="361"/>
      <c r="N146" s="557"/>
      <c r="O146" s="563"/>
      <c r="P146" s="64"/>
      <c r="Q146" s="64"/>
    </row>
    <row r="147" spans="2:17" s="560" customFormat="1">
      <c r="B147" s="561" t="s">
        <v>329</v>
      </c>
      <c r="C147" s="562"/>
      <c r="D147" s="562"/>
      <c r="E147" s="361"/>
      <c r="K147" s="361"/>
      <c r="L147" s="361"/>
      <c r="M147" s="361"/>
      <c r="N147" s="557"/>
      <c r="O147" s="563"/>
      <c r="P147" s="64"/>
      <c r="Q147" s="64"/>
    </row>
    <row r="148" spans="2:17">
      <c r="C148" t="s">
        <v>515</v>
      </c>
      <c r="J148" t="s">
        <v>21</v>
      </c>
      <c r="K148" s="682"/>
      <c r="L148" s="13">
        <v>595</v>
      </c>
    </row>
    <row r="149" spans="2:17">
      <c r="B149" s="946">
        <f>L148</f>
        <v>595</v>
      </c>
      <c r="C149" s="947"/>
      <c r="D149" s="947"/>
      <c r="E149" s="947"/>
      <c r="F149" s="6" t="s">
        <v>9</v>
      </c>
      <c r="K149" s="558" t="s">
        <v>213</v>
      </c>
      <c r="L149" s="13">
        <v>1051.25</v>
      </c>
      <c r="M149" s="683" t="s">
        <v>330</v>
      </c>
      <c r="N149" s="683" t="s">
        <v>16</v>
      </c>
      <c r="O149" s="10">
        <f>B149*L149</f>
        <v>625493.75</v>
      </c>
    </row>
    <row r="150" spans="2:17">
      <c r="N150" s="274"/>
      <c r="O150" s="274"/>
    </row>
    <row r="151" spans="2:17">
      <c r="M151" t="s">
        <v>183</v>
      </c>
      <c r="N151" s="18" t="s">
        <v>402</v>
      </c>
      <c r="O151" s="566">
        <f>SUM(O5:O150)</f>
        <v>32670579.7025575</v>
      </c>
    </row>
    <row r="155" spans="2:17">
      <c r="I155" t="s">
        <v>516</v>
      </c>
      <c r="N155" t="s">
        <v>5</v>
      </c>
      <c r="O155" s="683">
        <f>O151*33.7/100</f>
        <v>11009985.359761879</v>
      </c>
    </row>
    <row r="157" spans="2:17">
      <c r="N157" s="274"/>
      <c r="O157" s="274"/>
    </row>
    <row r="159" spans="2:17">
      <c r="M159" t="s">
        <v>185</v>
      </c>
      <c r="N159" s="18" t="s">
        <v>402</v>
      </c>
      <c r="O159" s="566">
        <f>SUM(O151:O158)</f>
        <v>43680565.062319383</v>
      </c>
    </row>
    <row r="161" spans="1:15" ht="26.25" customHeight="1"/>
    <row r="163" spans="1:15" s="73" customFormat="1" ht="15.75">
      <c r="A163" s="684"/>
      <c r="B163" s="920" t="s">
        <v>369</v>
      </c>
      <c r="C163" s="920"/>
      <c r="D163" s="920"/>
      <c r="E163" s="920"/>
      <c r="F163" s="920"/>
      <c r="G163" s="920"/>
      <c r="H163" s="920"/>
      <c r="I163" s="920"/>
      <c r="J163" s="920"/>
      <c r="L163" s="920" t="s">
        <v>333</v>
      </c>
      <c r="M163" s="920"/>
      <c r="N163" s="920"/>
      <c r="O163" s="920"/>
    </row>
    <row r="164" spans="1:15" s="7" customFormat="1" ht="15.75">
      <c r="A164" s="692"/>
      <c r="B164" s="942" t="s">
        <v>334</v>
      </c>
      <c r="C164" s="942"/>
      <c r="D164" s="942"/>
      <c r="E164" s="942"/>
      <c r="F164" s="942"/>
      <c r="G164" s="942"/>
      <c r="H164" s="942"/>
      <c r="I164" s="942"/>
      <c r="J164" s="942"/>
      <c r="L164" s="942" t="s">
        <v>370</v>
      </c>
      <c r="M164" s="942"/>
      <c r="N164" s="942"/>
      <c r="O164" s="942"/>
    </row>
    <row r="165" spans="1:15" s="7" customFormat="1" ht="15.75">
      <c r="A165" s="692"/>
      <c r="B165" s="942" t="s">
        <v>236</v>
      </c>
      <c r="C165" s="942"/>
      <c r="D165" s="942"/>
      <c r="E165" s="942"/>
      <c r="F165" s="942"/>
      <c r="G165" s="942"/>
      <c r="H165" s="942"/>
      <c r="I165" s="942"/>
      <c r="J165" s="942"/>
      <c r="L165" s="942" t="s">
        <v>236</v>
      </c>
      <c r="M165" s="942"/>
      <c r="N165" s="942"/>
      <c r="O165" s="942"/>
    </row>
  </sheetData>
  <mergeCells count="34">
    <mergeCell ref="B165:F165"/>
    <mergeCell ref="G165:J165"/>
    <mergeCell ref="L165:O165"/>
    <mergeCell ref="B149:E149"/>
    <mergeCell ref="B163:F163"/>
    <mergeCell ref="G163:J163"/>
    <mergeCell ref="L163:O163"/>
    <mergeCell ref="B164:F164"/>
    <mergeCell ref="G164:J164"/>
    <mergeCell ref="L164:O164"/>
    <mergeCell ref="B142:E142"/>
    <mergeCell ref="B72:E72"/>
    <mergeCell ref="B80:E80"/>
    <mergeCell ref="D99:E99"/>
    <mergeCell ref="B100:E100"/>
    <mergeCell ref="B105:C105"/>
    <mergeCell ref="B106:E106"/>
    <mergeCell ref="B113:E113"/>
    <mergeCell ref="B118:E118"/>
    <mergeCell ref="B124:E124"/>
    <mergeCell ref="B129:E129"/>
    <mergeCell ref="B137:E137"/>
    <mergeCell ref="B66:E66"/>
    <mergeCell ref="A1:O1"/>
    <mergeCell ref="B5:E5"/>
    <mergeCell ref="B10:E10"/>
    <mergeCell ref="B14:E14"/>
    <mergeCell ref="B19:E19"/>
    <mergeCell ref="B29:E29"/>
    <mergeCell ref="B39:E39"/>
    <mergeCell ref="B44:E44"/>
    <mergeCell ref="J49:K49"/>
    <mergeCell ref="B53:E53"/>
    <mergeCell ref="B60:E60"/>
  </mergeCells>
  <pageMargins left="0.83" right="0.26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rgb="FFFF0000"/>
  </sheetPr>
  <dimension ref="A1:M30"/>
  <sheetViews>
    <sheetView topLeftCell="A22" workbookViewId="0">
      <selection activeCell="L35" sqref="L35"/>
    </sheetView>
  </sheetViews>
  <sheetFormatPr defaultRowHeight="12.75"/>
  <cols>
    <col min="1" max="1" width="5.5703125" style="18" customWidth="1"/>
    <col min="2" max="5" width="9.140625" style="18"/>
    <col min="6" max="6" width="10.7109375" style="18" customWidth="1"/>
    <col min="7" max="11" width="9.140625" style="18"/>
    <col min="12" max="12" width="9" style="18" customWidth="1"/>
    <col min="13" max="13" width="9.140625" style="18" hidden="1" customWidth="1"/>
    <col min="14" max="16384" width="9.140625" style="18"/>
  </cols>
  <sheetData>
    <row r="1" spans="1:12" ht="18.75">
      <c r="A1" s="1030" t="s">
        <v>652</v>
      </c>
      <c r="B1" s="1030"/>
      <c r="C1" s="1030"/>
      <c r="D1" s="1030"/>
      <c r="E1" s="1030"/>
      <c r="F1" s="1030"/>
      <c r="G1" s="1030"/>
      <c r="H1" s="1030"/>
      <c r="I1" s="1030"/>
    </row>
    <row r="2" spans="1:12" ht="67.5" customHeight="1">
      <c r="A2" s="1031" t="s">
        <v>651</v>
      </c>
      <c r="B2" s="1031"/>
      <c r="C2" s="1031"/>
      <c r="D2" s="1031"/>
      <c r="E2" s="1031"/>
      <c r="F2" s="1031"/>
      <c r="G2" s="1031"/>
      <c r="H2" s="1031"/>
      <c r="I2" s="1031"/>
    </row>
    <row r="3" spans="1:12" s="703" customFormat="1" ht="15.75">
      <c r="A3" s="699" t="s">
        <v>481</v>
      </c>
      <c r="B3" s="700" t="s">
        <v>625</v>
      </c>
      <c r="C3" s="700"/>
      <c r="D3" s="700"/>
      <c r="E3" s="700"/>
      <c r="F3" s="700"/>
      <c r="G3" s="700"/>
      <c r="H3" s="700"/>
      <c r="I3" s="700"/>
      <c r="J3" s="701"/>
      <c r="K3" s="701"/>
      <c r="L3" s="702"/>
    </row>
    <row r="4" spans="1:12" s="703" customFormat="1" ht="15.75">
      <c r="A4" s="699"/>
      <c r="B4" s="700" t="s">
        <v>626</v>
      </c>
      <c r="C4" s="700"/>
      <c r="D4" s="700"/>
      <c r="E4" s="700"/>
      <c r="F4" s="700"/>
      <c r="G4" s="700"/>
      <c r="H4" s="700"/>
      <c r="I4" s="700"/>
      <c r="J4" s="701"/>
      <c r="K4" s="701"/>
      <c r="L4" s="702"/>
    </row>
    <row r="5" spans="1:12" s="703" customFormat="1" ht="15.75">
      <c r="A5" s="699"/>
      <c r="B5" s="700" t="s">
        <v>627</v>
      </c>
      <c r="C5" s="700"/>
      <c r="D5" s="700"/>
      <c r="E5" s="700"/>
      <c r="F5" s="700"/>
      <c r="G5" s="700"/>
      <c r="H5" s="700"/>
      <c r="I5" s="700"/>
      <c r="J5" s="701"/>
      <c r="K5" s="701"/>
      <c r="L5" s="702"/>
    </row>
    <row r="6" spans="1:12" s="703" customFormat="1" ht="15.75">
      <c r="A6" s="699"/>
      <c r="B6" s="700" t="s">
        <v>628</v>
      </c>
      <c r="C6" s="700"/>
      <c r="D6" s="700"/>
      <c r="E6" s="700"/>
      <c r="F6" s="700"/>
      <c r="G6" s="700"/>
      <c r="H6" s="700"/>
      <c r="I6" s="700"/>
      <c r="J6" s="701"/>
      <c r="K6" s="701"/>
      <c r="L6" s="702"/>
    </row>
    <row r="7" spans="1:12" s="703" customFormat="1" ht="15.75">
      <c r="A7" s="699"/>
      <c r="B7" s="700" t="s">
        <v>629</v>
      </c>
      <c r="C7" s="700"/>
      <c r="D7" s="700"/>
      <c r="E7" s="700"/>
      <c r="F7" s="700"/>
      <c r="G7" s="700"/>
      <c r="H7" s="700"/>
      <c r="I7" s="700"/>
      <c r="J7" s="701"/>
      <c r="K7" s="701"/>
      <c r="L7" s="702"/>
    </row>
    <row r="8" spans="1:12" s="703" customFormat="1" ht="15.75">
      <c r="A8" s="699"/>
      <c r="B8" s="700" t="s">
        <v>630</v>
      </c>
      <c r="C8" s="700"/>
      <c r="D8" s="700"/>
      <c r="E8" s="700"/>
      <c r="F8" s="700"/>
      <c r="G8" s="700"/>
      <c r="H8" s="700"/>
      <c r="I8" s="700"/>
      <c r="J8" s="701"/>
      <c r="K8" s="701"/>
      <c r="L8" s="702"/>
    </row>
    <row r="9" spans="1:12" s="703" customFormat="1" ht="15.75">
      <c r="A9" s="699"/>
      <c r="B9" s="700" t="s">
        <v>631</v>
      </c>
      <c r="C9" s="700"/>
      <c r="D9" s="700"/>
      <c r="E9" s="700"/>
      <c r="F9" s="700"/>
      <c r="G9" s="700"/>
      <c r="H9" s="700"/>
      <c r="I9" s="700"/>
      <c r="J9" s="701"/>
      <c r="K9" s="701"/>
      <c r="L9" s="702"/>
    </row>
    <row r="10" spans="1:12" s="703" customFormat="1" ht="15.75">
      <c r="A10" s="699"/>
      <c r="B10" s="700" t="s">
        <v>632</v>
      </c>
      <c r="C10" s="700"/>
      <c r="D10" s="700"/>
      <c r="E10" s="700"/>
      <c r="F10" s="700"/>
      <c r="G10" s="700"/>
      <c r="H10" s="700"/>
      <c r="I10" s="700"/>
      <c r="J10" s="701"/>
      <c r="K10" s="701"/>
      <c r="L10" s="702"/>
    </row>
    <row r="11" spans="1:12" s="703" customFormat="1" ht="15.75">
      <c r="A11" s="699"/>
      <c r="B11" s="700" t="s">
        <v>633</v>
      </c>
      <c r="C11" s="700"/>
      <c r="D11" s="700"/>
      <c r="E11" s="700"/>
      <c r="F11" s="700"/>
      <c r="G11" s="700"/>
      <c r="H11" s="700"/>
      <c r="I11" s="700"/>
      <c r="J11" s="701"/>
      <c r="K11" s="701"/>
      <c r="L11" s="702"/>
    </row>
    <row r="12" spans="1:12" s="703" customFormat="1" ht="15.75">
      <c r="A12" s="699"/>
      <c r="B12" s="700" t="s">
        <v>634</v>
      </c>
      <c r="C12" s="700"/>
      <c r="D12" s="700"/>
      <c r="E12" s="700"/>
      <c r="F12" s="700"/>
      <c r="G12" s="700"/>
      <c r="H12" s="700"/>
      <c r="I12" s="700"/>
      <c r="J12" s="701"/>
      <c r="K12" s="701"/>
      <c r="L12" s="702"/>
    </row>
    <row r="13" spans="1:12" s="703" customFormat="1" ht="15.75">
      <c r="A13" s="699"/>
      <c r="B13" s="700" t="s">
        <v>635</v>
      </c>
      <c r="C13" s="700"/>
      <c r="D13" s="700"/>
      <c r="E13" s="700"/>
      <c r="F13" s="700"/>
      <c r="G13" s="700"/>
      <c r="H13" s="700"/>
      <c r="I13" s="700"/>
      <c r="J13" s="701"/>
      <c r="K13" s="701"/>
      <c r="L13" s="702"/>
    </row>
    <row r="14" spans="1:12" s="703" customFormat="1" ht="15.75">
      <c r="A14" s="699"/>
      <c r="B14" s="700" t="s">
        <v>636</v>
      </c>
      <c r="C14" s="700"/>
      <c r="D14" s="700"/>
      <c r="E14" s="700"/>
      <c r="F14" s="700"/>
      <c r="G14" s="700"/>
      <c r="H14" s="700"/>
      <c r="I14" s="700"/>
      <c r="J14" s="701"/>
      <c r="K14" s="701"/>
      <c r="L14" s="702"/>
    </row>
    <row r="15" spans="1:12" s="703" customFormat="1" ht="15.75">
      <c r="A15" s="699"/>
      <c r="B15" s="700" t="s">
        <v>637</v>
      </c>
      <c r="C15" s="700"/>
      <c r="D15" s="700"/>
      <c r="E15" s="700"/>
      <c r="F15" s="700"/>
      <c r="G15" s="700"/>
      <c r="H15" s="700"/>
      <c r="I15" s="700"/>
      <c r="J15" s="701"/>
      <c r="K15" s="701"/>
      <c r="L15" s="702"/>
    </row>
    <row r="16" spans="1:12" s="703" customFormat="1" ht="15.75">
      <c r="A16" s="699"/>
      <c r="B16" s="700" t="s">
        <v>638</v>
      </c>
      <c r="C16" s="700"/>
      <c r="D16" s="700"/>
      <c r="E16" s="700"/>
      <c r="F16" s="700"/>
      <c r="G16" s="700"/>
      <c r="H16" s="700"/>
      <c r="I16" s="700"/>
      <c r="J16" s="701"/>
      <c r="K16" s="701"/>
      <c r="L16" s="702"/>
    </row>
    <row r="17" spans="1:12" s="703" customFormat="1" ht="15.75">
      <c r="A17" s="699"/>
      <c r="B17" s="700" t="s">
        <v>639</v>
      </c>
      <c r="C17" s="700"/>
      <c r="D17" s="700"/>
      <c r="E17" s="700"/>
      <c r="F17" s="700"/>
      <c r="G17" s="700"/>
      <c r="H17" s="700"/>
      <c r="I17" s="700"/>
      <c r="J17" s="701"/>
      <c r="K17" s="701"/>
      <c r="L17" s="702"/>
    </row>
    <row r="18" spans="1:12" s="703" customFormat="1" ht="15.75">
      <c r="A18" s="704"/>
      <c r="B18" s="700" t="s">
        <v>640</v>
      </c>
      <c r="C18" s="700"/>
      <c r="D18" s="700"/>
      <c r="E18" s="700"/>
      <c r="F18" s="700"/>
      <c r="G18" s="700"/>
      <c r="H18" s="700"/>
      <c r="I18" s="705"/>
      <c r="J18" s="701"/>
    </row>
    <row r="19" spans="1:12" s="703" customFormat="1" ht="15.75">
      <c r="A19" s="704"/>
      <c r="B19" s="700" t="s">
        <v>641</v>
      </c>
      <c r="C19" s="700"/>
      <c r="D19" s="700"/>
      <c r="E19" s="700"/>
      <c r="F19" s="700"/>
      <c r="G19" s="700"/>
      <c r="H19" s="700"/>
      <c r="I19" s="705"/>
      <c r="J19" s="701"/>
    </row>
    <row r="20" spans="1:12" s="703" customFormat="1" ht="15.75">
      <c r="A20" s="704"/>
      <c r="B20" s="700" t="s">
        <v>642</v>
      </c>
      <c r="C20" s="700"/>
      <c r="D20" s="700"/>
      <c r="E20" s="700"/>
      <c r="F20" s="700"/>
      <c r="G20" s="700"/>
      <c r="H20" s="700"/>
      <c r="I20" s="705"/>
      <c r="J20" s="701"/>
    </row>
    <row r="21" spans="1:12" s="703" customFormat="1" ht="15.75">
      <c r="A21" s="704"/>
      <c r="B21" s="700" t="s">
        <v>643</v>
      </c>
      <c r="C21" s="700"/>
      <c r="D21" s="700"/>
      <c r="E21" s="700"/>
      <c r="F21" s="700"/>
      <c r="G21" s="700"/>
      <c r="H21" s="700"/>
      <c r="I21" s="705"/>
      <c r="J21" s="701"/>
    </row>
    <row r="22" spans="1:12" s="703" customFormat="1" ht="15.75">
      <c r="A22" s="699"/>
      <c r="B22" s="700" t="s">
        <v>644</v>
      </c>
      <c r="C22" s="700"/>
      <c r="D22" s="700"/>
      <c r="E22" s="700"/>
      <c r="F22" s="700"/>
      <c r="G22" s="700"/>
      <c r="H22" s="700"/>
      <c r="I22" s="700"/>
      <c r="J22" s="701"/>
      <c r="K22" s="701"/>
      <c r="L22" s="702"/>
    </row>
    <row r="23" spans="1:12" s="703" customFormat="1" ht="15.75">
      <c r="A23" s="699"/>
      <c r="B23" s="700" t="s">
        <v>645</v>
      </c>
      <c r="C23" s="700"/>
      <c r="D23" s="700"/>
      <c r="E23" s="700"/>
      <c r="F23" s="700"/>
      <c r="G23" s="700"/>
      <c r="H23" s="700"/>
      <c r="I23" s="700"/>
      <c r="J23" s="701"/>
      <c r="K23" s="701"/>
      <c r="L23" s="702"/>
    </row>
    <row r="24" spans="1:12" s="703" customFormat="1" ht="15.75">
      <c r="A24" s="699"/>
      <c r="B24" s="700" t="s">
        <v>646</v>
      </c>
      <c r="C24" s="700"/>
      <c r="D24" s="700"/>
      <c r="E24" s="700"/>
      <c r="F24" s="700"/>
      <c r="G24" s="700"/>
      <c r="H24" s="700"/>
      <c r="I24" s="700"/>
      <c r="J24" s="701"/>
      <c r="K24" s="701"/>
      <c r="L24" s="702"/>
    </row>
    <row r="25" spans="1:12" s="703" customFormat="1" ht="15.75">
      <c r="A25" s="699"/>
      <c r="B25" s="700"/>
      <c r="C25" s="700"/>
      <c r="D25" s="700"/>
      <c r="E25" s="700"/>
      <c r="F25" s="700"/>
      <c r="G25" s="700"/>
      <c r="H25" s="700"/>
      <c r="I25" s="700"/>
      <c r="J25" s="701"/>
      <c r="K25" s="701"/>
      <c r="L25" s="702"/>
    </row>
    <row r="26" spans="1:12" s="712" customFormat="1" ht="15.75">
      <c r="A26" s="706"/>
      <c r="B26" s="707"/>
      <c r="C26" s="708">
        <v>3</v>
      </c>
      <c r="D26" s="707" t="s">
        <v>647</v>
      </c>
      <c r="E26" s="709" t="s">
        <v>17</v>
      </c>
      <c r="F26" s="710">
        <f>'[4]RA  (60 BHP)'!I109</f>
        <v>1316300</v>
      </c>
      <c r="G26" s="707" t="s">
        <v>648</v>
      </c>
      <c r="H26" s="707" t="s">
        <v>16</v>
      </c>
      <c r="I26" s="711">
        <f>C26*F26</f>
        <v>3948900</v>
      </c>
    </row>
    <row r="27" spans="1:12" ht="15.75">
      <c r="C27" s="713"/>
      <c r="E27" s="714"/>
      <c r="F27" s="715"/>
      <c r="I27" s="705"/>
      <c r="J27" s="701"/>
    </row>
    <row r="28" spans="1:12" s="716" customFormat="1" ht="15.75">
      <c r="C28" s="717"/>
      <c r="E28" s="718"/>
      <c r="F28" s="719"/>
      <c r="G28" s="720" t="s">
        <v>185</v>
      </c>
      <c r="H28" s="720" t="s">
        <v>5</v>
      </c>
      <c r="I28" s="721">
        <f>I26</f>
        <v>3948900</v>
      </c>
      <c r="J28" s="722"/>
    </row>
    <row r="29" spans="1:12" ht="15.75">
      <c r="C29" s="713"/>
      <c r="E29" s="714"/>
      <c r="F29" s="715"/>
      <c r="I29" s="705"/>
      <c r="J29" s="701"/>
    </row>
    <row r="30" spans="1:12" ht="15.75">
      <c r="C30" s="713"/>
      <c r="E30" s="714"/>
      <c r="F30" s="715"/>
      <c r="I30" s="705"/>
      <c r="J30" s="701"/>
    </row>
  </sheetData>
  <mergeCells count="2">
    <mergeCell ref="A1:I1"/>
    <mergeCell ref="A2:I2"/>
  </mergeCells>
  <pageMargins left="0.7" right="0.7" top="0.75" bottom="0.75" header="0.3" footer="0.3"/>
  <pageSetup orientation="portrait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rgb="FFFF0000"/>
  </sheetPr>
  <dimension ref="A1:Q92"/>
  <sheetViews>
    <sheetView topLeftCell="A37" workbookViewId="0">
      <selection activeCell="D41" sqref="D41"/>
    </sheetView>
  </sheetViews>
  <sheetFormatPr defaultRowHeight="12.75"/>
  <sheetData>
    <row r="1" spans="1:10" ht="15.75">
      <c r="A1" s="739"/>
      <c r="B1" s="740" t="s">
        <v>707</v>
      </c>
      <c r="C1" s="741"/>
      <c r="D1" s="741"/>
      <c r="E1" s="741"/>
      <c r="F1" s="741"/>
      <c r="G1" s="741"/>
      <c r="H1" s="741"/>
      <c r="I1" s="742"/>
      <c r="J1" s="743"/>
    </row>
    <row r="2" spans="1:10" ht="15.75">
      <c r="A2" s="744">
        <v>1</v>
      </c>
      <c r="B2" s="707" t="s">
        <v>658</v>
      </c>
      <c r="C2" s="707"/>
      <c r="D2" s="707"/>
      <c r="E2" s="707"/>
      <c r="F2" s="707"/>
      <c r="G2" s="707"/>
      <c r="H2" s="707"/>
      <c r="I2" s="745"/>
      <c r="J2" s="712"/>
    </row>
    <row r="3" spans="1:10" ht="15.75">
      <c r="A3" s="744"/>
      <c r="B3" s="707" t="s">
        <v>659</v>
      </c>
      <c r="C3" s="707"/>
      <c r="D3" s="707"/>
      <c r="E3" s="707"/>
      <c r="F3" s="707"/>
      <c r="G3" s="707"/>
      <c r="H3" s="707"/>
      <c r="I3" s="745"/>
      <c r="J3" s="712"/>
    </row>
    <row r="4" spans="1:10" ht="15.75">
      <c r="A4" s="744"/>
      <c r="B4" s="707" t="s">
        <v>660</v>
      </c>
      <c r="C4" s="707"/>
      <c r="D4" s="707"/>
      <c r="E4" s="707"/>
      <c r="F4" s="707"/>
      <c r="G4" s="707"/>
      <c r="H4" s="707"/>
      <c r="I4" s="745"/>
      <c r="J4" s="712"/>
    </row>
    <row r="5" spans="1:10" ht="15.75">
      <c r="A5" s="744"/>
      <c r="B5" s="707" t="s">
        <v>661</v>
      </c>
      <c r="C5" s="707"/>
      <c r="D5" s="707"/>
      <c r="E5" s="707"/>
      <c r="F5" s="707"/>
      <c r="G5" s="707"/>
      <c r="H5" s="707"/>
      <c r="I5" s="745"/>
      <c r="J5" s="712"/>
    </row>
    <row r="6" spans="1:10" ht="15.75">
      <c r="A6" s="744"/>
      <c r="B6" s="707" t="s">
        <v>662</v>
      </c>
      <c r="C6" s="707"/>
      <c r="D6" s="708">
        <v>1</v>
      </c>
      <c r="E6" s="744" t="s">
        <v>2</v>
      </c>
      <c r="F6" s="707">
        <v>16</v>
      </c>
      <c r="G6" s="746">
        <v>16</v>
      </c>
      <c r="H6" s="707" t="s">
        <v>10</v>
      </c>
      <c r="I6" s="745"/>
      <c r="J6" s="712"/>
    </row>
    <row r="7" spans="1:10" ht="15.75">
      <c r="A7" s="706"/>
      <c r="B7" s="707"/>
      <c r="C7" s="747">
        <v>16</v>
      </c>
      <c r="D7" s="707" t="s">
        <v>69</v>
      </c>
      <c r="E7" s="709" t="s">
        <v>17</v>
      </c>
      <c r="F7" s="748">
        <v>530</v>
      </c>
      <c r="G7" s="707" t="s">
        <v>663</v>
      </c>
      <c r="H7" s="707" t="s">
        <v>16</v>
      </c>
      <c r="I7" s="711">
        <f>C7*F7</f>
        <v>8480</v>
      </c>
      <c r="J7" s="712"/>
    </row>
    <row r="8" spans="1:10" ht="15.75">
      <c r="A8" s="744"/>
      <c r="B8" s="707" t="s">
        <v>664</v>
      </c>
      <c r="C8" s="707"/>
      <c r="D8" s="712"/>
      <c r="E8" s="744"/>
      <c r="F8" s="707"/>
      <c r="G8" s="709">
        <v>16</v>
      </c>
      <c r="H8" s="707" t="s">
        <v>10</v>
      </c>
      <c r="I8" s="745"/>
      <c r="J8" s="712"/>
    </row>
    <row r="9" spans="1:10" ht="15.75">
      <c r="A9" s="706"/>
      <c r="B9" s="707"/>
      <c r="C9" s="746">
        <v>16</v>
      </c>
      <c r="D9" s="707" t="s">
        <v>69</v>
      </c>
      <c r="E9" s="709" t="s">
        <v>17</v>
      </c>
      <c r="F9" s="748">
        <v>1590</v>
      </c>
      <c r="G9" s="707" t="s">
        <v>663</v>
      </c>
      <c r="H9" s="707" t="s">
        <v>16</v>
      </c>
      <c r="I9" s="711">
        <f>C9*F9</f>
        <v>25440</v>
      </c>
      <c r="J9" s="712"/>
    </row>
    <row r="10" spans="1:10" ht="15.75">
      <c r="A10" s="712"/>
      <c r="B10" s="707"/>
      <c r="C10" s="707"/>
      <c r="D10" s="707"/>
      <c r="E10" s="707"/>
      <c r="F10" s="707"/>
      <c r="G10" s="707"/>
      <c r="H10" s="707"/>
      <c r="I10" s="745"/>
      <c r="J10" s="712"/>
    </row>
    <row r="11" spans="1:10" ht="15.75">
      <c r="A11" s="749">
        <v>2</v>
      </c>
      <c r="B11" s="707" t="s">
        <v>665</v>
      </c>
      <c r="C11" s="707"/>
      <c r="D11" s="707"/>
      <c r="E11" s="707"/>
      <c r="F11" s="707"/>
      <c r="G11" s="707"/>
      <c r="H11" s="707"/>
      <c r="I11" s="745"/>
      <c r="J11" s="712"/>
    </row>
    <row r="12" spans="1:10" ht="15.75">
      <c r="A12" s="749"/>
      <c r="B12" s="707" t="s">
        <v>666</v>
      </c>
      <c r="C12" s="707"/>
      <c r="D12" s="707"/>
      <c r="E12" s="707"/>
      <c r="F12" s="707"/>
      <c r="G12" s="707"/>
      <c r="H12" s="707"/>
      <c r="I12" s="745"/>
      <c r="J12" s="712"/>
    </row>
    <row r="13" spans="1:10" ht="15.75">
      <c r="A13" s="744"/>
      <c r="B13" s="707" t="s">
        <v>667</v>
      </c>
      <c r="C13" s="707"/>
      <c r="D13" s="709"/>
      <c r="E13" s="744"/>
      <c r="F13" s="707"/>
      <c r="G13" s="709"/>
      <c r="H13" s="707"/>
      <c r="I13" s="745"/>
      <c r="J13" s="712"/>
    </row>
    <row r="14" spans="1:10" ht="15.75">
      <c r="A14" s="744"/>
      <c r="B14" s="707"/>
      <c r="C14" s="707"/>
      <c r="D14" s="709">
        <v>1</v>
      </c>
      <c r="E14" s="744" t="s">
        <v>2</v>
      </c>
      <c r="F14" s="707">
        <v>40.950000000000003</v>
      </c>
      <c r="G14" s="747">
        <v>40.950000000000003</v>
      </c>
      <c r="H14" s="707" t="s">
        <v>668</v>
      </c>
      <c r="I14" s="745"/>
      <c r="J14" s="712"/>
    </row>
    <row r="15" spans="1:10" ht="15.75">
      <c r="A15" s="744"/>
      <c r="B15" s="707" t="s">
        <v>669</v>
      </c>
      <c r="C15" s="707"/>
      <c r="D15" s="709"/>
      <c r="E15" s="744"/>
      <c r="F15" s="707"/>
      <c r="G15" s="709"/>
      <c r="H15" s="707"/>
      <c r="I15" s="745"/>
      <c r="J15" s="712"/>
    </row>
    <row r="16" spans="1:10" ht="15.75">
      <c r="A16" s="744"/>
      <c r="B16" s="707"/>
      <c r="C16" s="707"/>
      <c r="D16" s="709">
        <v>2</v>
      </c>
      <c r="E16" s="744" t="s">
        <v>2</v>
      </c>
      <c r="F16" s="707">
        <v>70</v>
      </c>
      <c r="G16" s="747">
        <v>140</v>
      </c>
      <c r="H16" s="707" t="s">
        <v>668</v>
      </c>
      <c r="I16" s="745"/>
      <c r="J16" s="712"/>
    </row>
    <row r="17" spans="1:17" ht="15.75">
      <c r="A17" s="744"/>
      <c r="B17" s="707"/>
      <c r="C17" s="707"/>
      <c r="D17" s="709"/>
      <c r="E17" s="744"/>
      <c r="F17" s="707"/>
      <c r="G17" s="747">
        <v>180.95</v>
      </c>
      <c r="H17" s="707" t="s">
        <v>668</v>
      </c>
      <c r="I17" s="745"/>
      <c r="J17" s="712"/>
      <c r="K17" s="712"/>
    </row>
    <row r="18" spans="1:17" ht="15.75">
      <c r="A18" s="744"/>
      <c r="B18" s="707"/>
      <c r="C18" s="707"/>
      <c r="D18" s="747">
        <v>180.95</v>
      </c>
      <c r="E18" s="744" t="s">
        <v>31</v>
      </c>
      <c r="F18" s="707">
        <v>112</v>
      </c>
      <c r="G18" s="747">
        <v>1.61</v>
      </c>
      <c r="H18" s="707" t="s">
        <v>9</v>
      </c>
      <c r="I18" s="745"/>
      <c r="J18" s="712"/>
      <c r="K18" s="712"/>
    </row>
    <row r="19" spans="1:17" ht="15.75">
      <c r="A19" s="706"/>
      <c r="B19" s="707"/>
      <c r="C19" s="747">
        <v>1.61</v>
      </c>
      <c r="D19" s="707" t="s">
        <v>9</v>
      </c>
      <c r="E19" s="709" t="s">
        <v>17</v>
      </c>
      <c r="F19" s="748">
        <v>6096</v>
      </c>
      <c r="G19" s="707" t="s">
        <v>60</v>
      </c>
      <c r="H19" s="707" t="s">
        <v>16</v>
      </c>
      <c r="I19" s="711">
        <f>C19*F19</f>
        <v>9814.5600000000013</v>
      </c>
      <c r="J19" s="712"/>
      <c r="K19" s="712"/>
    </row>
    <row r="20" spans="1:17" ht="15.75">
      <c r="A20" s="706"/>
      <c r="B20" s="707"/>
      <c r="C20" s="707"/>
      <c r="D20" s="707"/>
      <c r="E20" s="707"/>
      <c r="F20" s="707"/>
      <c r="G20" s="707"/>
      <c r="H20" s="707"/>
      <c r="I20" s="711"/>
      <c r="J20" s="750"/>
      <c r="K20" s="750"/>
    </row>
    <row r="21" spans="1:17" ht="15.75">
      <c r="A21" s="749">
        <v>3</v>
      </c>
      <c r="B21" s="707" t="s">
        <v>670</v>
      </c>
      <c r="C21" s="707"/>
      <c r="D21" s="707"/>
      <c r="E21" s="707"/>
      <c r="F21" s="707"/>
      <c r="G21" s="707"/>
      <c r="H21" s="707"/>
      <c r="I21" s="745"/>
      <c r="J21" s="712"/>
      <c r="K21" s="712"/>
    </row>
    <row r="22" spans="1:17" ht="15.75">
      <c r="A22" s="749"/>
      <c r="B22" s="707" t="s">
        <v>666</v>
      </c>
      <c r="C22" s="707"/>
      <c r="D22" s="707"/>
      <c r="E22" s="707"/>
      <c r="F22" s="707"/>
      <c r="G22" s="707"/>
      <c r="H22" s="707"/>
      <c r="I22" s="745"/>
      <c r="J22" s="712"/>
      <c r="K22" s="712"/>
    </row>
    <row r="23" spans="1:17" ht="15.75">
      <c r="A23" s="744"/>
      <c r="B23" s="707" t="s">
        <v>671</v>
      </c>
      <c r="C23" s="707"/>
      <c r="D23" s="709">
        <v>1</v>
      </c>
      <c r="E23" s="744" t="s">
        <v>2</v>
      </c>
      <c r="F23" s="707">
        <v>87.15</v>
      </c>
      <c r="G23" s="747">
        <v>87.15</v>
      </c>
      <c r="H23" s="707" t="s">
        <v>668</v>
      </c>
      <c r="I23" s="745"/>
      <c r="J23" s="712"/>
      <c r="K23" s="712"/>
    </row>
    <row r="24" spans="1:17" ht="15.75">
      <c r="A24" s="744"/>
      <c r="B24" s="707"/>
      <c r="C24" s="707"/>
      <c r="D24" s="747">
        <v>87.15</v>
      </c>
      <c r="E24" s="744" t="s">
        <v>31</v>
      </c>
      <c r="F24" s="707">
        <v>112</v>
      </c>
      <c r="G24" s="747">
        <v>0.77</v>
      </c>
      <c r="H24" s="707" t="s">
        <v>9</v>
      </c>
      <c r="I24" s="745"/>
      <c r="J24" s="712"/>
      <c r="K24" s="712"/>
    </row>
    <row r="25" spans="1:17" ht="15.75">
      <c r="A25" s="706"/>
      <c r="B25" s="707"/>
      <c r="C25" s="747">
        <v>0.77</v>
      </c>
      <c r="D25" s="707" t="s">
        <v>9</v>
      </c>
      <c r="E25" s="709" t="s">
        <v>17</v>
      </c>
      <c r="F25" s="748">
        <v>6096</v>
      </c>
      <c r="G25" s="707" t="s">
        <v>60</v>
      </c>
      <c r="H25" s="707" t="s">
        <v>16</v>
      </c>
      <c r="I25" s="711">
        <f>C25*F25</f>
        <v>4693.92</v>
      </c>
      <c r="J25" s="712"/>
      <c r="K25" s="712"/>
    </row>
    <row r="26" spans="1:17" ht="15.75">
      <c r="A26" s="706"/>
      <c r="B26" s="707"/>
      <c r="C26" s="707"/>
      <c r="D26" s="707"/>
      <c r="E26" s="707"/>
      <c r="F26" s="707"/>
      <c r="G26" s="707"/>
      <c r="H26" s="707"/>
      <c r="I26" s="711"/>
      <c r="J26" s="750"/>
      <c r="K26" s="750"/>
    </row>
    <row r="27" spans="1:17" ht="15.75">
      <c r="A27" s="706">
        <v>4</v>
      </c>
      <c r="B27" s="707" t="s">
        <v>672</v>
      </c>
      <c r="C27" s="707"/>
      <c r="D27" s="707"/>
      <c r="E27" s="707"/>
      <c r="F27" s="707"/>
      <c r="G27" s="707"/>
      <c r="H27" s="707"/>
      <c r="I27" s="711"/>
      <c r="J27" s="750"/>
      <c r="K27" s="750"/>
    </row>
    <row r="28" spans="1:17" ht="15.75">
      <c r="A28" s="706"/>
      <c r="B28" s="707" t="s">
        <v>673</v>
      </c>
      <c r="C28" s="707"/>
      <c r="D28" s="707"/>
      <c r="E28" s="707"/>
      <c r="F28" s="707"/>
      <c r="G28" s="707"/>
      <c r="H28" s="707"/>
      <c r="I28" s="711"/>
      <c r="J28" s="750"/>
      <c r="K28" s="750"/>
    </row>
    <row r="29" spans="1:17" ht="15.75">
      <c r="A29" s="744"/>
      <c r="B29" s="707" t="s">
        <v>674</v>
      </c>
      <c r="C29" s="707"/>
      <c r="D29" s="709">
        <v>1</v>
      </c>
      <c r="E29" s="744" t="s">
        <v>2</v>
      </c>
      <c r="F29" s="707">
        <v>4</v>
      </c>
      <c r="G29" s="747">
        <v>4</v>
      </c>
      <c r="H29" s="707" t="s">
        <v>40</v>
      </c>
      <c r="I29" s="745"/>
      <c r="J29" s="712"/>
      <c r="K29" s="712"/>
      <c r="L29" s="712"/>
      <c r="M29" s="712"/>
      <c r="N29" s="712"/>
      <c r="O29" s="712"/>
      <c r="P29" s="712"/>
      <c r="Q29" s="712"/>
    </row>
    <row r="30" spans="1:17" ht="15.75">
      <c r="A30" s="706"/>
      <c r="B30" s="707"/>
      <c r="C30" s="747">
        <v>8</v>
      </c>
      <c r="D30" s="707" t="s">
        <v>10</v>
      </c>
      <c r="E30" s="709" t="s">
        <v>17</v>
      </c>
      <c r="F30" s="748">
        <v>749.34</v>
      </c>
      <c r="G30" s="707" t="s">
        <v>10</v>
      </c>
      <c r="H30" s="707" t="s">
        <v>16</v>
      </c>
      <c r="I30" s="711">
        <f>C30*F30</f>
        <v>5994.72</v>
      </c>
      <c r="J30" s="712"/>
      <c r="K30" s="712"/>
      <c r="L30" s="712"/>
      <c r="M30" s="712"/>
      <c r="N30" s="712"/>
      <c r="O30" s="712"/>
      <c r="P30" s="712"/>
      <c r="Q30" s="712"/>
    </row>
    <row r="31" spans="1:17" ht="15.75">
      <c r="A31" s="749">
        <v>5</v>
      </c>
      <c r="B31" s="707" t="s">
        <v>675</v>
      </c>
      <c r="C31" s="707"/>
      <c r="D31" s="707"/>
      <c r="E31" s="707"/>
      <c r="F31" s="707"/>
      <c r="G31" s="707"/>
      <c r="H31" s="707"/>
      <c r="I31" s="745"/>
      <c r="J31" s="712"/>
      <c r="K31" s="712"/>
    </row>
    <row r="32" spans="1:17" ht="15.75">
      <c r="A32" s="749"/>
      <c r="B32" s="707" t="s">
        <v>676</v>
      </c>
      <c r="C32" s="707"/>
      <c r="D32" s="707"/>
      <c r="E32" s="707"/>
      <c r="F32" s="707"/>
      <c r="G32" s="707"/>
      <c r="H32" s="707"/>
      <c r="I32" s="745"/>
      <c r="J32" s="712"/>
      <c r="K32" s="712"/>
    </row>
    <row r="33" spans="1:17" ht="15.75">
      <c r="A33" s="749"/>
      <c r="B33" s="707" t="s">
        <v>677</v>
      </c>
      <c r="C33" s="707"/>
      <c r="D33" s="707"/>
      <c r="E33" s="707"/>
      <c r="F33" s="707"/>
      <c r="G33" s="707"/>
      <c r="H33" s="707"/>
      <c r="I33" s="745"/>
      <c r="J33" s="712"/>
      <c r="K33" s="712"/>
      <c r="L33" s="712"/>
      <c r="M33" s="712"/>
      <c r="N33" s="712"/>
      <c r="O33" s="712"/>
      <c r="P33" s="712"/>
      <c r="Q33" s="712"/>
    </row>
    <row r="34" spans="1:17" ht="15.75">
      <c r="A34" s="749"/>
      <c r="B34" s="707" t="s">
        <v>678</v>
      </c>
      <c r="C34" s="707"/>
      <c r="D34" s="707"/>
      <c r="E34" s="707"/>
      <c r="F34" s="707"/>
      <c r="G34" s="707"/>
      <c r="H34" s="707"/>
      <c r="I34" s="745"/>
      <c r="J34" s="712"/>
      <c r="K34" s="712"/>
      <c r="L34" s="712"/>
      <c r="M34" s="712"/>
      <c r="N34" s="712"/>
      <c r="O34" s="712"/>
      <c r="P34" s="712"/>
      <c r="Q34" s="712"/>
    </row>
    <row r="35" spans="1:17" ht="15.75">
      <c r="A35" s="749"/>
      <c r="B35" s="707" t="s">
        <v>679</v>
      </c>
      <c r="C35" s="707"/>
      <c r="D35" s="707"/>
      <c r="E35" s="707"/>
      <c r="F35" s="707"/>
      <c r="G35" s="707"/>
      <c r="H35" s="707"/>
      <c r="I35" s="745"/>
      <c r="J35" s="712"/>
      <c r="K35" s="712"/>
      <c r="L35" s="712"/>
      <c r="M35" s="712"/>
      <c r="N35" s="712"/>
      <c r="O35" s="712"/>
      <c r="P35" s="712"/>
      <c r="Q35" s="712"/>
    </row>
    <row r="36" spans="1:17" ht="15.75">
      <c r="A36" s="744"/>
      <c r="B36" s="707" t="s">
        <v>674</v>
      </c>
      <c r="C36" s="707"/>
      <c r="D36" s="709">
        <v>2</v>
      </c>
      <c r="E36" s="744" t="s">
        <v>2</v>
      </c>
      <c r="F36" s="707">
        <v>2</v>
      </c>
      <c r="G36" s="747">
        <v>4</v>
      </c>
      <c r="H36" s="707" t="s">
        <v>40</v>
      </c>
      <c r="I36" s="745"/>
      <c r="J36" s="712"/>
      <c r="K36" s="712"/>
      <c r="L36" s="712"/>
      <c r="M36" s="712"/>
      <c r="N36" s="712"/>
      <c r="O36" s="712"/>
      <c r="P36" s="712"/>
      <c r="Q36" s="712"/>
    </row>
    <row r="37" spans="1:17" ht="15.75">
      <c r="A37" s="706"/>
      <c r="B37" s="707"/>
      <c r="C37" s="751">
        <v>4</v>
      </c>
      <c r="D37" s="707" t="s">
        <v>40</v>
      </c>
      <c r="E37" s="709" t="s">
        <v>17</v>
      </c>
      <c r="F37" s="748">
        <v>1520</v>
      </c>
      <c r="G37" s="707" t="s">
        <v>680</v>
      </c>
      <c r="H37" s="707" t="s">
        <v>16</v>
      </c>
      <c r="I37" s="711">
        <f>C37*F37</f>
        <v>6080</v>
      </c>
      <c r="J37" s="712"/>
      <c r="K37" s="712"/>
      <c r="L37" s="712"/>
      <c r="M37" s="712"/>
      <c r="N37" s="712"/>
      <c r="O37" s="712"/>
      <c r="P37" s="712"/>
      <c r="Q37" s="712"/>
    </row>
    <row r="38" spans="1:17" ht="15.75">
      <c r="A38" s="744"/>
      <c r="B38" s="707" t="s">
        <v>671</v>
      </c>
      <c r="C38" s="707"/>
      <c r="D38" s="709">
        <v>1</v>
      </c>
      <c r="E38" s="744" t="s">
        <v>2</v>
      </c>
      <c r="F38" s="707">
        <v>18</v>
      </c>
      <c r="G38" s="747">
        <v>18</v>
      </c>
      <c r="H38" s="707" t="s">
        <v>40</v>
      </c>
      <c r="I38" s="745"/>
      <c r="J38" s="712"/>
      <c r="K38" s="712"/>
      <c r="L38" s="712"/>
      <c r="M38" s="712"/>
      <c r="N38" s="712"/>
      <c r="O38" s="712"/>
      <c r="P38" s="712"/>
      <c r="Q38" s="712"/>
    </row>
    <row r="39" spans="1:17" ht="15.75">
      <c r="A39" s="706"/>
      <c r="B39" s="707"/>
      <c r="C39" s="747">
        <v>6</v>
      </c>
      <c r="D39" s="707" t="s">
        <v>40</v>
      </c>
      <c r="E39" s="709" t="s">
        <v>17</v>
      </c>
      <c r="F39" s="748">
        <v>1953</v>
      </c>
      <c r="G39" s="707" t="s">
        <v>680</v>
      </c>
      <c r="H39" s="707" t="s">
        <v>16</v>
      </c>
      <c r="I39" s="711">
        <f>C39*F39</f>
        <v>11718</v>
      </c>
      <c r="J39" s="712"/>
      <c r="K39" s="712"/>
      <c r="L39" s="712"/>
      <c r="M39" s="712"/>
      <c r="N39" s="712"/>
      <c r="O39" s="712"/>
      <c r="P39" s="712"/>
      <c r="Q39" s="712"/>
    </row>
    <row r="40" spans="1:17" ht="15.75">
      <c r="A40" s="706"/>
      <c r="B40" s="707"/>
      <c r="C40" s="707"/>
      <c r="D40" s="707"/>
      <c r="E40" s="707"/>
      <c r="F40" s="707"/>
      <c r="G40" s="707"/>
      <c r="H40" s="707"/>
      <c r="I40" s="711"/>
      <c r="J40" s="750"/>
      <c r="K40" s="750"/>
      <c r="L40" s="752"/>
      <c r="M40" s="752"/>
      <c r="N40" s="752"/>
      <c r="O40" s="752"/>
      <c r="P40" s="752"/>
      <c r="Q40" s="752"/>
    </row>
    <row r="41" spans="1:17" ht="15.75">
      <c r="A41" s="706"/>
      <c r="B41" s="707"/>
      <c r="C41" s="707"/>
      <c r="D41" s="707"/>
      <c r="E41" s="707"/>
      <c r="F41" s="707"/>
      <c r="G41" s="707"/>
      <c r="H41" s="707"/>
      <c r="I41" s="711"/>
      <c r="J41" s="750"/>
      <c r="K41" s="750"/>
      <c r="L41" s="752"/>
      <c r="M41" s="752"/>
      <c r="N41" s="752"/>
      <c r="O41" s="752"/>
      <c r="P41" s="752"/>
      <c r="Q41" s="752"/>
    </row>
    <row r="42" spans="1:17" ht="15.75">
      <c r="A42" s="706"/>
      <c r="B42" s="707"/>
      <c r="C42" s="707"/>
      <c r="D42" s="707"/>
      <c r="E42" s="707"/>
      <c r="F42" s="707"/>
      <c r="G42" s="707"/>
      <c r="H42" s="707"/>
      <c r="I42" s="711"/>
      <c r="J42" s="750"/>
      <c r="K42" s="750"/>
      <c r="L42" s="752"/>
      <c r="M42" s="752"/>
      <c r="N42" s="752"/>
      <c r="O42" s="752"/>
      <c r="P42" s="752"/>
      <c r="Q42" s="752"/>
    </row>
    <row r="43" spans="1:17" ht="15.75">
      <c r="A43" s="706"/>
      <c r="B43" s="707"/>
      <c r="C43" s="707"/>
      <c r="D43" s="707"/>
      <c r="E43" s="707"/>
      <c r="F43" s="707"/>
      <c r="G43" s="707"/>
      <c r="H43" s="707"/>
      <c r="I43" s="711"/>
      <c r="J43" s="750"/>
      <c r="K43" s="750"/>
      <c r="L43" s="752"/>
      <c r="M43" s="752"/>
      <c r="N43" s="752"/>
      <c r="O43" s="752"/>
      <c r="P43" s="752"/>
      <c r="Q43" s="752"/>
    </row>
    <row r="44" spans="1:17" ht="15.75">
      <c r="A44" s="706"/>
      <c r="B44" s="707"/>
      <c r="C44" s="707"/>
      <c r="D44" s="707"/>
      <c r="E44" s="707"/>
      <c r="F44" s="707"/>
      <c r="G44" s="707"/>
      <c r="H44" s="707"/>
      <c r="I44" s="711"/>
      <c r="J44" s="750"/>
      <c r="K44" s="750"/>
      <c r="L44" s="752"/>
      <c r="M44" s="752"/>
      <c r="N44" s="752"/>
      <c r="O44" s="752"/>
      <c r="P44" s="752"/>
      <c r="Q44" s="752"/>
    </row>
    <row r="45" spans="1:17" ht="15.75">
      <c r="A45" s="706"/>
      <c r="B45" s="707"/>
      <c r="C45" s="707"/>
      <c r="D45" s="707"/>
      <c r="E45" s="707"/>
      <c r="F45" s="707"/>
      <c r="G45" s="707"/>
      <c r="H45" s="707"/>
      <c r="I45" s="711"/>
      <c r="J45" s="750"/>
      <c r="K45" s="750"/>
      <c r="L45" s="752"/>
      <c r="M45" s="752"/>
      <c r="N45" s="752"/>
      <c r="O45" s="752"/>
      <c r="P45" s="752"/>
      <c r="Q45" s="752"/>
    </row>
    <row r="46" spans="1:17" ht="15.75">
      <c r="A46" s="706"/>
      <c r="B46" s="707"/>
      <c r="C46" s="707"/>
      <c r="D46" s="707"/>
      <c r="E46" s="707"/>
      <c r="F46" s="707"/>
      <c r="G46" s="707"/>
      <c r="H46" s="707"/>
      <c r="I46" s="711"/>
      <c r="J46" s="750"/>
      <c r="K46" s="750"/>
      <c r="L46" s="752"/>
      <c r="M46" s="752"/>
      <c r="N46" s="752"/>
      <c r="O46" s="752"/>
      <c r="P46" s="752"/>
      <c r="Q46" s="752"/>
    </row>
    <row r="47" spans="1:17" ht="15.75">
      <c r="A47" s="738">
        <v>6</v>
      </c>
      <c r="B47" s="276" t="s">
        <v>681</v>
      </c>
      <c r="C47" s="276"/>
      <c r="D47" s="276"/>
      <c r="E47" s="276"/>
      <c r="F47" s="276"/>
      <c r="G47" s="276"/>
      <c r="H47" s="276"/>
      <c r="I47" s="65"/>
      <c r="J47" s="7"/>
      <c r="K47" s="7"/>
      <c r="L47" s="7"/>
      <c r="M47" s="7"/>
      <c r="N47" s="7"/>
      <c r="O47" s="7"/>
      <c r="P47" s="7"/>
      <c r="Q47" s="7"/>
    </row>
    <row r="48" spans="1:17" ht="15.75">
      <c r="A48" s="738"/>
      <c r="B48" s="276" t="s">
        <v>682</v>
      </c>
      <c r="C48" s="276"/>
      <c r="D48" s="276"/>
      <c r="E48" s="276"/>
      <c r="F48" s="276"/>
      <c r="G48" s="276"/>
      <c r="H48" s="276"/>
      <c r="I48" s="65"/>
      <c r="J48" s="7"/>
      <c r="K48" s="7"/>
      <c r="L48" s="7"/>
      <c r="M48" s="7"/>
      <c r="N48" s="7"/>
      <c r="O48" s="7"/>
      <c r="P48" s="7"/>
      <c r="Q48" s="7"/>
    </row>
    <row r="49" spans="1:17" ht="15.75">
      <c r="A49" s="738"/>
      <c r="B49" s="276" t="s">
        <v>683</v>
      </c>
      <c r="C49" s="276"/>
      <c r="D49" s="276"/>
      <c r="E49" s="276"/>
      <c r="F49" s="276"/>
      <c r="G49" s="276"/>
      <c r="H49" s="276"/>
      <c r="I49" s="65"/>
      <c r="J49" s="7"/>
      <c r="K49" s="7"/>
      <c r="L49" s="7"/>
      <c r="M49" s="7"/>
      <c r="N49" s="7"/>
      <c r="O49" s="7"/>
      <c r="P49" s="7"/>
      <c r="Q49" s="7"/>
    </row>
    <row r="50" spans="1:17" ht="15.75">
      <c r="A50" s="738"/>
      <c r="B50" s="276" t="s">
        <v>684</v>
      </c>
      <c r="C50" s="276"/>
      <c r="D50" s="38">
        <v>1</v>
      </c>
      <c r="E50" s="331" t="s">
        <v>2</v>
      </c>
      <c r="F50" s="331">
        <v>1</v>
      </c>
      <c r="G50" s="89">
        <v>1</v>
      </c>
      <c r="H50" s="276" t="s">
        <v>40</v>
      </c>
      <c r="I50" s="65"/>
      <c r="J50" s="7"/>
      <c r="K50" s="7"/>
      <c r="L50" s="7"/>
      <c r="M50" s="7"/>
      <c r="N50" s="7"/>
      <c r="O50" s="7"/>
      <c r="P50" s="7"/>
      <c r="Q50" s="20"/>
    </row>
    <row r="51" spans="1:17" ht="15.75">
      <c r="A51" s="738"/>
      <c r="B51" s="331">
        <v>1</v>
      </c>
      <c r="C51" s="331" t="s">
        <v>2</v>
      </c>
      <c r="D51" s="90">
        <v>48.3</v>
      </c>
      <c r="E51" s="276" t="s">
        <v>31</v>
      </c>
      <c r="F51" s="276">
        <v>112</v>
      </c>
      <c r="G51" s="737">
        <v>0.43</v>
      </c>
      <c r="H51" s="276" t="s">
        <v>9</v>
      </c>
      <c r="I51" s="65"/>
      <c r="J51" s="7"/>
      <c r="K51" s="7"/>
      <c r="L51" s="7"/>
      <c r="M51" s="7"/>
      <c r="N51" s="7"/>
      <c r="O51" s="7"/>
      <c r="P51" s="7"/>
      <c r="Q51" s="7"/>
    </row>
    <row r="52" spans="1:17" ht="15.75">
      <c r="A52" s="699"/>
      <c r="B52" s="276"/>
      <c r="C52" s="737">
        <f>G51</f>
        <v>0.43</v>
      </c>
      <c r="D52" s="276" t="s">
        <v>59</v>
      </c>
      <c r="E52" s="89" t="s">
        <v>17</v>
      </c>
      <c r="F52" s="276">
        <v>6096</v>
      </c>
      <c r="G52" s="276" t="s">
        <v>685</v>
      </c>
      <c r="H52" s="276" t="s">
        <v>16</v>
      </c>
      <c r="I52" s="753">
        <f>C52*F52</f>
        <v>2621.2799999999997</v>
      </c>
      <c r="J52" s="701"/>
      <c r="K52" s="701"/>
      <c r="L52" s="601"/>
      <c r="M52" s="601"/>
      <c r="N52" s="601"/>
      <c r="O52" s="601"/>
      <c r="P52" s="601"/>
      <c r="Q52" s="601"/>
    </row>
    <row r="53" spans="1:17" ht="15.75">
      <c r="A53" s="749"/>
      <c r="B53" s="707"/>
      <c r="C53" s="707"/>
      <c r="D53" s="707"/>
      <c r="E53" s="707"/>
      <c r="F53" s="707"/>
      <c r="G53" s="707"/>
      <c r="H53" s="707"/>
      <c r="I53" s="745"/>
      <c r="J53" s="712"/>
      <c r="K53" s="712"/>
      <c r="L53" s="712"/>
      <c r="M53" s="712"/>
      <c r="N53" s="712"/>
      <c r="O53" s="712"/>
      <c r="P53" s="712"/>
      <c r="Q53" s="712"/>
    </row>
    <row r="54" spans="1:17" ht="15.75">
      <c r="A54" s="749">
        <v>7</v>
      </c>
      <c r="B54" s="707" t="s">
        <v>686</v>
      </c>
      <c r="C54" s="707"/>
      <c r="D54" s="707"/>
      <c r="E54" s="707"/>
      <c r="F54" s="707"/>
      <c r="G54" s="707"/>
      <c r="H54" s="707"/>
      <c r="I54" s="745"/>
      <c r="J54" s="712"/>
      <c r="K54" s="712"/>
      <c r="L54" s="712"/>
      <c r="M54" s="712"/>
      <c r="N54" s="712"/>
      <c r="O54" s="712"/>
      <c r="P54" s="712"/>
      <c r="Q54" s="712"/>
    </row>
    <row r="55" spans="1:17" ht="15.75">
      <c r="A55" s="749"/>
      <c r="B55" s="707" t="s">
        <v>687</v>
      </c>
      <c r="C55" s="707"/>
      <c r="D55" s="707"/>
      <c r="E55" s="707"/>
      <c r="F55" s="707"/>
      <c r="G55" s="707"/>
      <c r="H55" s="707"/>
      <c r="I55" s="745"/>
      <c r="J55" s="712"/>
      <c r="K55" s="712"/>
    </row>
    <row r="56" spans="1:17" ht="15.75">
      <c r="A56" s="706"/>
      <c r="B56" s="707" t="s">
        <v>688</v>
      </c>
      <c r="C56" s="709">
        <v>1</v>
      </c>
      <c r="D56" s="707" t="s">
        <v>40</v>
      </c>
      <c r="E56" s="707" t="s">
        <v>17</v>
      </c>
      <c r="F56" s="707">
        <v>9360</v>
      </c>
      <c r="G56" s="707" t="s">
        <v>689</v>
      </c>
      <c r="H56" s="707" t="s">
        <v>16</v>
      </c>
      <c r="I56" s="711">
        <f>C56*F56</f>
        <v>9360</v>
      </c>
      <c r="J56" s="750"/>
      <c r="K56" s="750"/>
    </row>
    <row r="57" spans="1:17" ht="15.75">
      <c r="A57" s="706"/>
      <c r="B57" s="707"/>
      <c r="C57" s="709"/>
      <c r="D57" s="707"/>
      <c r="E57" s="707"/>
      <c r="F57" s="707"/>
      <c r="G57" s="707"/>
      <c r="H57" s="707"/>
      <c r="I57" s="711"/>
      <c r="J57" s="750"/>
      <c r="K57" s="750"/>
    </row>
    <row r="58" spans="1:17" ht="15.75">
      <c r="A58" s="749">
        <v>8</v>
      </c>
      <c r="B58" s="707" t="s">
        <v>690</v>
      </c>
      <c r="C58" s="707"/>
      <c r="D58" s="707"/>
      <c r="E58" s="707"/>
      <c r="F58" s="707"/>
      <c r="G58" s="707"/>
      <c r="H58" s="707"/>
      <c r="I58" s="745"/>
      <c r="J58" s="712"/>
      <c r="K58" s="712"/>
    </row>
    <row r="59" spans="1:17" ht="15.75">
      <c r="A59" s="749"/>
      <c r="B59" s="707" t="s">
        <v>691</v>
      </c>
      <c r="C59" s="707"/>
      <c r="D59" s="707"/>
      <c r="E59" s="707"/>
      <c r="F59" s="707"/>
      <c r="G59" s="707"/>
      <c r="H59" s="707"/>
      <c r="I59" s="745"/>
      <c r="J59" s="712"/>
      <c r="K59" s="712"/>
    </row>
    <row r="60" spans="1:17" ht="15.75">
      <c r="A60" s="706"/>
      <c r="B60" s="707" t="s">
        <v>688</v>
      </c>
      <c r="C60" s="747">
        <v>2</v>
      </c>
      <c r="D60" s="707" t="s">
        <v>40</v>
      </c>
      <c r="E60" s="709" t="s">
        <v>17</v>
      </c>
      <c r="F60" s="748">
        <v>4062.5</v>
      </c>
      <c r="G60" s="707" t="s">
        <v>689</v>
      </c>
      <c r="H60" s="707" t="s">
        <v>16</v>
      </c>
      <c r="I60" s="711">
        <f>C60*F60</f>
        <v>8125</v>
      </c>
      <c r="J60" s="750"/>
      <c r="K60" s="750"/>
    </row>
    <row r="61" spans="1:17" ht="15.75">
      <c r="A61" s="706"/>
      <c r="B61" s="707"/>
      <c r="C61" s="747"/>
      <c r="D61" s="707"/>
      <c r="E61" s="709"/>
      <c r="F61" s="707"/>
      <c r="G61" s="707"/>
      <c r="H61" s="707"/>
      <c r="I61" s="711"/>
      <c r="J61" s="750"/>
      <c r="K61" s="750"/>
    </row>
    <row r="62" spans="1:17" ht="15.75">
      <c r="A62" s="749">
        <v>9</v>
      </c>
      <c r="B62" s="707" t="s">
        <v>692</v>
      </c>
      <c r="C62" s="707"/>
      <c r="D62" s="707"/>
      <c r="E62" s="707"/>
      <c r="F62" s="707"/>
      <c r="G62" s="707"/>
      <c r="H62" s="707"/>
      <c r="I62" s="745"/>
      <c r="J62" s="712"/>
      <c r="K62" s="712"/>
    </row>
    <row r="63" spans="1:17" ht="15.75">
      <c r="A63" s="749"/>
      <c r="B63" s="707" t="s">
        <v>693</v>
      </c>
      <c r="C63" s="707"/>
      <c r="D63" s="707"/>
      <c r="E63" s="707"/>
      <c r="F63" s="707"/>
      <c r="G63" s="707"/>
      <c r="H63" s="707"/>
      <c r="I63" s="745"/>
      <c r="J63" s="712"/>
      <c r="K63" s="712"/>
    </row>
    <row r="64" spans="1:17" ht="15.75">
      <c r="A64" s="706"/>
      <c r="B64" s="707" t="s">
        <v>688</v>
      </c>
      <c r="C64" s="747">
        <v>1</v>
      </c>
      <c r="D64" s="707" t="s">
        <v>40</v>
      </c>
      <c r="E64" s="709" t="s">
        <v>17</v>
      </c>
      <c r="F64" s="707">
        <v>1381.25</v>
      </c>
      <c r="G64" s="707" t="s">
        <v>689</v>
      </c>
      <c r="H64" s="707" t="s">
        <v>16</v>
      </c>
      <c r="I64" s="711">
        <f>C64*F64</f>
        <v>1381.25</v>
      </c>
      <c r="J64" s="750"/>
      <c r="K64" s="750"/>
    </row>
    <row r="65" spans="1:11" ht="15.75">
      <c r="A65" s="749"/>
      <c r="B65" s="707"/>
      <c r="C65" s="707"/>
      <c r="D65" s="707"/>
      <c r="E65" s="707"/>
      <c r="F65" s="707"/>
      <c r="G65" s="707"/>
      <c r="H65" s="707"/>
      <c r="I65" s="745"/>
      <c r="J65" s="712"/>
      <c r="K65" s="712"/>
    </row>
    <row r="66" spans="1:11" ht="15.75">
      <c r="A66" s="749">
        <v>10</v>
      </c>
      <c r="B66" s="707" t="s">
        <v>694</v>
      </c>
      <c r="C66" s="707"/>
      <c r="D66" s="707"/>
      <c r="E66" s="707"/>
      <c r="F66" s="707"/>
      <c r="G66" s="707"/>
      <c r="H66" s="707"/>
      <c r="I66" s="745"/>
      <c r="J66" s="712"/>
      <c r="K66" s="712"/>
    </row>
    <row r="67" spans="1:11" ht="15.75">
      <c r="A67" s="706"/>
      <c r="B67" s="707" t="s">
        <v>688</v>
      </c>
      <c r="C67" s="747">
        <v>4</v>
      </c>
      <c r="D67" s="707" t="s">
        <v>695</v>
      </c>
      <c r="E67" s="707" t="s">
        <v>17</v>
      </c>
      <c r="F67" s="707">
        <v>1000</v>
      </c>
      <c r="G67" s="707" t="s">
        <v>696</v>
      </c>
      <c r="H67" s="707" t="s">
        <v>16</v>
      </c>
      <c r="I67" s="711">
        <f>C67*F67</f>
        <v>4000</v>
      </c>
      <c r="J67" s="750"/>
      <c r="K67" s="750"/>
    </row>
    <row r="68" spans="1:11" ht="15.75">
      <c r="A68" s="706"/>
      <c r="B68" s="707" t="s">
        <v>697</v>
      </c>
      <c r="C68" s="747">
        <v>6</v>
      </c>
      <c r="D68" s="707" t="s">
        <v>695</v>
      </c>
      <c r="E68" s="707" t="s">
        <v>17</v>
      </c>
      <c r="F68" s="707">
        <v>1800</v>
      </c>
      <c r="G68" s="707" t="s">
        <v>696</v>
      </c>
      <c r="H68" s="707" t="s">
        <v>16</v>
      </c>
      <c r="I68" s="711">
        <f>C68*F68</f>
        <v>10800</v>
      </c>
      <c r="J68" s="750"/>
      <c r="K68" s="750"/>
    </row>
    <row r="69" spans="1:11" ht="15.75">
      <c r="A69" s="749"/>
      <c r="B69" s="707"/>
      <c r="C69" s="707"/>
      <c r="D69" s="707"/>
      <c r="E69" s="707"/>
      <c r="F69" s="707"/>
      <c r="G69" s="707"/>
      <c r="H69" s="707"/>
      <c r="I69" s="745"/>
      <c r="J69" s="712"/>
      <c r="K69" s="712"/>
    </row>
    <row r="70" spans="1:11" ht="15.75">
      <c r="A70" s="749">
        <v>11</v>
      </c>
      <c r="B70" s="707" t="s">
        <v>698</v>
      </c>
      <c r="C70" s="707"/>
      <c r="D70" s="707"/>
      <c r="E70" s="707"/>
      <c r="F70" s="707"/>
      <c r="G70" s="707"/>
      <c r="H70" s="707"/>
      <c r="I70" s="745"/>
      <c r="J70" s="712"/>
      <c r="K70" s="712"/>
    </row>
    <row r="71" spans="1:11" ht="15.75">
      <c r="A71" s="706"/>
      <c r="B71" s="707" t="s">
        <v>688</v>
      </c>
      <c r="C71" s="747">
        <v>4</v>
      </c>
      <c r="D71" s="707" t="s">
        <v>695</v>
      </c>
      <c r="E71" s="707" t="s">
        <v>17</v>
      </c>
      <c r="F71" s="707">
        <v>2025</v>
      </c>
      <c r="G71" s="707" t="s">
        <v>696</v>
      </c>
      <c r="H71" s="707" t="s">
        <v>16</v>
      </c>
      <c r="I71" s="711">
        <f>C71*F71</f>
        <v>8100</v>
      </c>
      <c r="J71" s="750"/>
      <c r="K71" s="750"/>
    </row>
    <row r="72" spans="1:11" ht="15.75">
      <c r="A72" s="706"/>
      <c r="B72" s="707" t="s">
        <v>697</v>
      </c>
      <c r="C72" s="747">
        <v>6</v>
      </c>
      <c r="D72" s="707" t="s">
        <v>695</v>
      </c>
      <c r="E72" s="707" t="s">
        <v>17</v>
      </c>
      <c r="F72" s="707">
        <v>7425</v>
      </c>
      <c r="G72" s="707" t="s">
        <v>696</v>
      </c>
      <c r="H72" s="707" t="s">
        <v>16</v>
      </c>
      <c r="I72" s="711">
        <f>C72*F72</f>
        <v>44550</v>
      </c>
      <c r="J72" s="750"/>
      <c r="K72" s="750"/>
    </row>
    <row r="73" spans="1:11" ht="15.75">
      <c r="A73" s="749"/>
      <c r="B73" s="707"/>
      <c r="C73" s="707"/>
      <c r="D73" s="707"/>
      <c r="E73" s="707"/>
      <c r="F73" s="707"/>
      <c r="G73" s="707"/>
      <c r="H73" s="707"/>
      <c r="I73" s="745"/>
      <c r="J73" s="712"/>
      <c r="K73" s="712"/>
    </row>
    <row r="74" spans="1:11" ht="15.75">
      <c r="A74" s="749">
        <v>12</v>
      </c>
      <c r="B74" s="707" t="s">
        <v>699</v>
      </c>
      <c r="C74" s="707"/>
      <c r="D74" s="707"/>
      <c r="E74" s="707"/>
      <c r="F74" s="707"/>
      <c r="G74" s="707"/>
      <c r="H74" s="707"/>
      <c r="I74" s="745"/>
      <c r="J74" s="712"/>
      <c r="K74" s="712"/>
    </row>
    <row r="75" spans="1:11" ht="15.75">
      <c r="A75" s="712"/>
      <c r="B75" s="707" t="s">
        <v>700</v>
      </c>
      <c r="C75" s="707"/>
      <c r="D75" s="707"/>
      <c r="E75" s="707"/>
      <c r="F75" s="707"/>
      <c r="G75" s="707"/>
      <c r="H75" s="707"/>
      <c r="I75" s="745"/>
      <c r="J75" s="712"/>
      <c r="K75" s="712"/>
    </row>
    <row r="76" spans="1:11" ht="15.75">
      <c r="A76" s="712"/>
      <c r="B76" s="707" t="s">
        <v>701</v>
      </c>
      <c r="C76" s="707"/>
      <c r="D76" s="707"/>
      <c r="E76" s="707"/>
      <c r="F76" s="707"/>
      <c r="G76" s="707"/>
      <c r="H76" s="707"/>
      <c r="I76" s="745"/>
      <c r="J76" s="712"/>
      <c r="K76" s="712"/>
    </row>
    <row r="77" spans="1:11" ht="15.75">
      <c r="A77" s="712"/>
      <c r="B77" s="707" t="s">
        <v>702</v>
      </c>
      <c r="C77" s="707"/>
      <c r="D77" s="707"/>
      <c r="E77" s="707"/>
      <c r="F77" s="707"/>
      <c r="G77" s="707"/>
      <c r="H77" s="707"/>
      <c r="I77" s="745"/>
      <c r="J77" s="712"/>
      <c r="K77" s="712"/>
    </row>
    <row r="78" spans="1:11" ht="15.75">
      <c r="A78" s="706"/>
      <c r="B78" s="707" t="s">
        <v>688</v>
      </c>
      <c r="C78" s="747">
        <v>4</v>
      </c>
      <c r="D78" s="707" t="s">
        <v>40</v>
      </c>
      <c r="E78" s="709" t="s">
        <v>17</v>
      </c>
      <c r="F78" s="707">
        <v>938</v>
      </c>
      <c r="G78" s="707" t="s">
        <v>703</v>
      </c>
      <c r="H78" s="707" t="s">
        <v>16</v>
      </c>
      <c r="I78" s="711">
        <f>C78*F78</f>
        <v>3752</v>
      </c>
      <c r="J78" s="750"/>
      <c r="K78" s="750"/>
    </row>
    <row r="79" spans="1:11" ht="15.75">
      <c r="A79" s="706"/>
      <c r="B79" s="707" t="s">
        <v>697</v>
      </c>
      <c r="C79" s="747">
        <v>6</v>
      </c>
      <c r="D79" s="707" t="s">
        <v>40</v>
      </c>
      <c r="E79" s="709" t="s">
        <v>17</v>
      </c>
      <c r="F79" s="707">
        <v>940</v>
      </c>
      <c r="G79" s="707" t="s">
        <v>703</v>
      </c>
      <c r="H79" s="707" t="s">
        <v>16</v>
      </c>
      <c r="I79" s="711">
        <f>C79*F79</f>
        <v>5640</v>
      </c>
      <c r="J79" s="750"/>
      <c r="K79" s="750"/>
    </row>
    <row r="80" spans="1:11" ht="15.75">
      <c r="A80" s="712"/>
      <c r="B80" s="707"/>
      <c r="C80" s="707"/>
      <c r="D80" s="707"/>
      <c r="E80" s="707"/>
      <c r="F80" s="707"/>
      <c r="G80" s="707"/>
      <c r="H80" s="707" t="s">
        <v>16</v>
      </c>
      <c r="I80" s="754">
        <f>SUM(I7:I79)</f>
        <v>170550.72999999998</v>
      </c>
      <c r="J80" s="712"/>
      <c r="K80" s="754"/>
    </row>
    <row r="81" spans="1:11" ht="15.75">
      <c r="A81" s="712"/>
      <c r="B81" s="707"/>
      <c r="C81" s="707"/>
      <c r="D81" s="707"/>
      <c r="E81" s="707"/>
      <c r="F81" s="707"/>
      <c r="G81" s="707"/>
      <c r="H81" s="707"/>
      <c r="I81" s="754"/>
      <c r="J81" s="712"/>
      <c r="K81" s="712"/>
    </row>
    <row r="82" spans="1:11" ht="15.75">
      <c r="A82" s="712"/>
      <c r="B82" s="707" t="s">
        <v>39</v>
      </c>
      <c r="C82" s="755">
        <v>0.1</v>
      </c>
      <c r="D82" s="707" t="s">
        <v>704</v>
      </c>
      <c r="E82" s="707"/>
      <c r="F82" s="756"/>
      <c r="G82" s="757">
        <v>50796</v>
      </c>
      <c r="H82" s="758" t="s">
        <v>16</v>
      </c>
      <c r="I82" s="759">
        <f>G82*10/100</f>
        <v>5079.6000000000004</v>
      </c>
      <c r="J82" s="712"/>
      <c r="K82" s="712"/>
    </row>
    <row r="83" spans="1:11" ht="15.75">
      <c r="A83" s="758"/>
      <c r="B83" s="707"/>
      <c r="C83" s="707"/>
      <c r="D83" s="707"/>
      <c r="E83" s="707"/>
      <c r="F83" s="707"/>
      <c r="G83" s="756" t="s">
        <v>183</v>
      </c>
      <c r="H83" s="760" t="s">
        <v>16</v>
      </c>
      <c r="I83" s="761">
        <f>SUM(I80:I82)</f>
        <v>175630.33</v>
      </c>
      <c r="J83" s="712"/>
      <c r="K83" s="712"/>
    </row>
    <row r="84" spans="1:11" ht="15.75">
      <c r="A84" s="758"/>
      <c r="B84" s="707"/>
      <c r="C84" s="707"/>
      <c r="D84" s="707"/>
      <c r="E84" s="707"/>
      <c r="F84" s="707"/>
      <c r="G84" s="756" t="s">
        <v>34</v>
      </c>
      <c r="H84" s="760" t="s">
        <v>402</v>
      </c>
      <c r="I84" s="761">
        <v>175631</v>
      </c>
      <c r="J84" s="712"/>
      <c r="K84" s="712"/>
    </row>
    <row r="85" spans="1:11" s="45" customFormat="1" ht="15.75">
      <c r="B85" s="762" t="s">
        <v>705</v>
      </c>
      <c r="C85" s="719">
        <f>I84</f>
        <v>175631</v>
      </c>
      <c r="D85" s="762" t="s">
        <v>2</v>
      </c>
      <c r="E85" s="763">
        <v>25</v>
      </c>
      <c r="F85" s="719" t="s">
        <v>706</v>
      </c>
      <c r="H85" s="760" t="s">
        <v>402</v>
      </c>
      <c r="I85" s="764">
        <f>C85*E85</f>
        <v>4390775</v>
      </c>
      <c r="J85" s="765"/>
    </row>
    <row r="89" spans="1:11" s="18" customFormat="1"/>
    <row r="90" spans="1:11" s="18" customFormat="1"/>
    <row r="91" spans="1:11" s="18" customFormat="1"/>
    <row r="92" spans="1:11" s="18" customFormat="1"/>
  </sheetData>
  <pageMargins left="0.7" right="0.7" top="0.75" bottom="0.44" header="0.3" footer="0.3"/>
  <pageSetup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>
  <dimension ref="A1:K52"/>
  <sheetViews>
    <sheetView topLeftCell="A22" workbookViewId="0">
      <selection activeCell="L33" sqref="L33"/>
    </sheetView>
  </sheetViews>
  <sheetFormatPr defaultRowHeight="16.5"/>
  <cols>
    <col min="1" max="1" width="4.5703125" style="384" customWidth="1"/>
    <col min="2" max="2" width="11.85546875" style="384" customWidth="1"/>
    <col min="3" max="3" width="4.28515625" style="384" customWidth="1"/>
    <col min="4" max="4" width="15.7109375" style="384" customWidth="1"/>
    <col min="5" max="5" width="4.85546875" style="384" customWidth="1"/>
    <col min="6" max="6" width="3.140625" style="384" customWidth="1"/>
    <col min="7" max="7" width="6" style="384" customWidth="1"/>
    <col min="8" max="8" width="11.85546875" style="384" customWidth="1"/>
    <col min="9" max="9" width="8.7109375" style="384" customWidth="1"/>
    <col min="10" max="10" width="6.140625" style="384" customWidth="1"/>
    <col min="11" max="11" width="10" style="384" customWidth="1"/>
    <col min="12" max="12" width="9.85546875" style="384" customWidth="1"/>
    <col min="13" max="13" width="7.5703125" style="384" customWidth="1"/>
    <col min="14" max="14" width="3.140625" style="384" customWidth="1"/>
    <col min="15" max="15" width="9.85546875" style="384" customWidth="1"/>
    <col min="16" max="16384" width="9.140625" style="384"/>
  </cols>
  <sheetData>
    <row r="1" spans="1:11">
      <c r="A1" s="391" t="s">
        <v>714</v>
      </c>
      <c r="H1" s="390"/>
      <c r="I1" s="393" t="s">
        <v>715</v>
      </c>
      <c r="J1" s="390" t="s">
        <v>402</v>
      </c>
      <c r="K1" s="397">
        <f>'RCC Nalla(2.50'')'!O120</f>
        <v>11113309.986214286</v>
      </c>
    </row>
    <row r="2" spans="1:11">
      <c r="A2" s="391"/>
      <c r="H2" s="390"/>
    </row>
    <row r="3" spans="1:11">
      <c r="A3" s="787">
        <v>1</v>
      </c>
      <c r="B3" s="384" t="s">
        <v>716</v>
      </c>
      <c r="E3" s="408">
        <f>'[3]Lead chart'!F15</f>
        <v>81</v>
      </c>
      <c r="F3" s="384" t="s">
        <v>717</v>
      </c>
    </row>
    <row r="4" spans="1:11">
      <c r="A4" s="787"/>
    </row>
    <row r="5" spans="1:11">
      <c r="A5" s="787"/>
      <c r="B5" s="403">
        <f>Material!H8</f>
        <v>22338.959999999999</v>
      </c>
      <c r="C5" s="390" t="s">
        <v>6</v>
      </c>
      <c r="D5" s="390"/>
      <c r="E5" s="390"/>
      <c r="F5" s="390"/>
      <c r="G5" s="396" t="s">
        <v>11</v>
      </c>
      <c r="H5" s="791">
        <f>'[3]Lead chart'!J19</f>
        <v>3213.96</v>
      </c>
      <c r="I5" s="390" t="s">
        <v>12</v>
      </c>
      <c r="J5" s="390" t="s">
        <v>5</v>
      </c>
      <c r="K5" s="397">
        <f>H5*B5/100</f>
        <v>717965.23881599994</v>
      </c>
    </row>
    <row r="6" spans="1:11">
      <c r="A6" s="787"/>
      <c r="K6" s="801"/>
    </row>
    <row r="7" spans="1:11">
      <c r="A7" s="787">
        <v>2</v>
      </c>
      <c r="B7" s="384" t="s">
        <v>718</v>
      </c>
      <c r="D7" s="787"/>
      <c r="E7" s="787">
        <f>'[3]Lead chart'!F21</f>
        <v>76</v>
      </c>
      <c r="K7" s="801"/>
    </row>
    <row r="8" spans="1:11">
      <c r="A8" s="787"/>
      <c r="K8" s="801"/>
    </row>
    <row r="9" spans="1:11">
      <c r="A9" s="787"/>
      <c r="B9" s="403">
        <f>[3]Material!H13</f>
        <v>0</v>
      </c>
      <c r="C9" s="390" t="s">
        <v>6</v>
      </c>
      <c r="D9" s="390"/>
      <c r="E9" s="390"/>
      <c r="F9" s="390"/>
      <c r="G9" s="396" t="str">
        <f>G5</f>
        <v xml:space="preserve"> @Rs</v>
      </c>
      <c r="H9" s="791">
        <f>'[3]Lead chart'!J25</f>
        <v>3051.1600000000003</v>
      </c>
      <c r="I9" s="390" t="str">
        <f>I5</f>
        <v>P%Cft</v>
      </c>
      <c r="J9" s="390" t="s">
        <v>5</v>
      </c>
      <c r="K9" s="397">
        <f>H9*B9/100</f>
        <v>0</v>
      </c>
    </row>
    <row r="10" spans="1:11">
      <c r="A10" s="787"/>
    </row>
    <row r="11" spans="1:11">
      <c r="A11" s="787">
        <v>3</v>
      </c>
      <c r="B11" s="384" t="s">
        <v>719</v>
      </c>
      <c r="E11" s="787">
        <f>'[3]Lead chart'!F9</f>
        <v>204</v>
      </c>
      <c r="F11" s="384" t="s">
        <v>720</v>
      </c>
    </row>
    <row r="12" spans="1:11">
      <c r="A12" s="787"/>
    </row>
    <row r="13" spans="1:11">
      <c r="A13" s="787"/>
      <c r="B13" s="403">
        <f>Material!I8</f>
        <v>11169.48</v>
      </c>
      <c r="C13" s="390" t="s">
        <v>6</v>
      </c>
      <c r="D13" s="390"/>
      <c r="E13" s="390"/>
      <c r="F13" s="390"/>
      <c r="G13" s="396" t="str">
        <f>G9</f>
        <v xml:space="preserve"> @Rs</v>
      </c>
      <c r="H13" s="791">
        <f>'[3]Lead chart'!J13</f>
        <v>7218.84</v>
      </c>
      <c r="I13" s="390" t="s">
        <v>12</v>
      </c>
      <c r="J13" s="390" t="s">
        <v>5</v>
      </c>
      <c r="K13" s="397">
        <f>H13*B13/100</f>
        <v>806306.89003199991</v>
      </c>
    </row>
    <row r="14" spans="1:11">
      <c r="A14" s="787"/>
    </row>
    <row r="15" spans="1:11">
      <c r="A15" s="787">
        <v>4</v>
      </c>
      <c r="B15" s="384" t="s">
        <v>721</v>
      </c>
      <c r="F15" s="408"/>
      <c r="G15" s="408">
        <f>'[3]Lead chart'!F33</f>
        <v>202</v>
      </c>
      <c r="H15" s="384" t="s">
        <v>720</v>
      </c>
    </row>
    <row r="16" spans="1:11">
      <c r="A16" s="787"/>
    </row>
    <row r="17" spans="1:11">
      <c r="A17" s="787"/>
      <c r="B17" s="403">
        <f>Material!J8</f>
        <v>3602.7420000000002</v>
      </c>
      <c r="C17" s="390" t="s">
        <v>722</v>
      </c>
      <c r="D17" s="390"/>
      <c r="E17" s="390"/>
      <c r="F17" s="390"/>
      <c r="G17" s="396" t="str">
        <f>G13</f>
        <v xml:space="preserve"> @Rs</v>
      </c>
      <c r="H17" s="791">
        <f>'[3]Lead chart'!J37</f>
        <v>127.53</v>
      </c>
      <c r="I17" s="390" t="s">
        <v>723</v>
      </c>
      <c r="J17" s="390" t="s">
        <v>5</v>
      </c>
      <c r="K17" s="397">
        <f>H17*B17</f>
        <v>459457.68726000004</v>
      </c>
    </row>
    <row r="18" spans="1:11">
      <c r="A18" s="787"/>
    </row>
    <row r="19" spans="1:11">
      <c r="A19" s="787">
        <v>5</v>
      </c>
      <c r="B19" s="384" t="s">
        <v>724</v>
      </c>
      <c r="E19" s="787">
        <f>'[3]Lead chart'!F27</f>
        <v>6</v>
      </c>
      <c r="F19" s="384" t="s">
        <v>717</v>
      </c>
    </row>
    <row r="21" spans="1:11">
      <c r="B21" s="403">
        <v>0</v>
      </c>
      <c r="C21" s="390" t="s">
        <v>40</v>
      </c>
      <c r="D21" s="390"/>
      <c r="E21" s="390"/>
      <c r="F21" s="390"/>
      <c r="G21" s="396" t="str">
        <f>G17</f>
        <v xml:space="preserve"> @Rs</v>
      </c>
      <c r="H21" s="791">
        <f>'[3]Lead chart'!J31</f>
        <v>617.54</v>
      </c>
      <c r="I21" s="390" t="s">
        <v>725</v>
      </c>
      <c r="J21" s="417" t="s">
        <v>5</v>
      </c>
      <c r="K21" s="413">
        <f>H21*B21/1000</f>
        <v>0</v>
      </c>
    </row>
    <row r="22" spans="1:11">
      <c r="B22" s="403"/>
      <c r="C22" s="390"/>
      <c r="D22" s="390"/>
      <c r="E22" s="390"/>
      <c r="F22" s="390"/>
      <c r="G22" s="396"/>
      <c r="H22" s="393"/>
      <c r="I22" s="390"/>
      <c r="J22" s="417"/>
      <c r="K22" s="413"/>
    </row>
    <row r="23" spans="1:11">
      <c r="A23" s="787">
        <v>5</v>
      </c>
      <c r="B23" s="384" t="s">
        <v>726</v>
      </c>
      <c r="D23" s="787">
        <f>'[3]Lead chart'!F38</f>
        <v>58</v>
      </c>
      <c r="E23" s="384" t="s">
        <v>717</v>
      </c>
    </row>
    <row r="24" spans="1:11">
      <c r="B24" s="403">
        <f>Material!L8</f>
        <v>635.42857142857144</v>
      </c>
      <c r="C24" s="390" t="s">
        <v>184</v>
      </c>
      <c r="D24" s="390"/>
      <c r="E24" s="390"/>
      <c r="F24" s="390"/>
      <c r="G24" s="430" t="s">
        <v>396</v>
      </c>
      <c r="H24" s="791">
        <f>'[3]Lead chart'!J43</f>
        <v>24.6508</v>
      </c>
      <c r="I24" s="390" t="s">
        <v>727</v>
      </c>
      <c r="J24" s="417" t="s">
        <v>5</v>
      </c>
      <c r="K24" s="413">
        <f>H24*B24</f>
        <v>15663.82262857143</v>
      </c>
    </row>
    <row r="25" spans="1:11">
      <c r="B25" s="403"/>
      <c r="C25" s="390"/>
      <c r="D25" s="390"/>
      <c r="E25" s="390"/>
      <c r="F25" s="390"/>
      <c r="G25" s="396"/>
      <c r="H25" s="393"/>
      <c r="I25" s="390"/>
      <c r="J25" s="431"/>
      <c r="K25" s="410"/>
    </row>
    <row r="26" spans="1:11">
      <c r="B26" s="404"/>
      <c r="G26" s="395"/>
      <c r="H26" s="408"/>
      <c r="K26" s="422"/>
    </row>
    <row r="27" spans="1:11">
      <c r="I27" s="417" t="s">
        <v>183</v>
      </c>
      <c r="J27" s="419" t="s">
        <v>5</v>
      </c>
      <c r="K27" s="413">
        <f>SUM(K1:K26)</f>
        <v>13112703.624950856</v>
      </c>
    </row>
    <row r="28" spans="1:11">
      <c r="I28" s="417"/>
      <c r="J28" s="419"/>
      <c r="K28" s="413"/>
    </row>
    <row r="29" spans="1:11">
      <c r="I29" s="417"/>
      <c r="J29" s="419"/>
      <c r="K29" s="413"/>
    </row>
    <row r="32" spans="1:11">
      <c r="A32" s="962" t="s">
        <v>730</v>
      </c>
      <c r="B32" s="962"/>
      <c r="C32" s="962"/>
      <c r="D32" s="962"/>
      <c r="F32" s="962" t="s">
        <v>731</v>
      </c>
      <c r="G32" s="962"/>
      <c r="H32" s="962"/>
      <c r="I32" s="962"/>
    </row>
    <row r="33" spans="1:9">
      <c r="A33" s="962" t="s">
        <v>334</v>
      </c>
      <c r="B33" s="962"/>
      <c r="C33" s="962"/>
      <c r="D33" s="962"/>
      <c r="E33" s="803"/>
      <c r="F33" s="962" t="s">
        <v>335</v>
      </c>
      <c r="G33" s="962"/>
      <c r="H33" s="962"/>
      <c r="I33" s="962"/>
    </row>
    <row r="34" spans="1:9">
      <c r="A34" s="962" t="s">
        <v>236</v>
      </c>
      <c r="B34" s="962"/>
      <c r="C34" s="962"/>
      <c r="D34" s="962"/>
      <c r="F34" s="962" t="s">
        <v>236</v>
      </c>
      <c r="G34" s="962"/>
      <c r="H34" s="962"/>
      <c r="I34" s="962"/>
    </row>
    <row r="52" spans="2:7">
      <c r="B52" s="404"/>
      <c r="C52" s="404"/>
      <c r="G52" s="404"/>
    </row>
  </sheetData>
  <mergeCells count="6">
    <mergeCell ref="A32:D32"/>
    <mergeCell ref="F32:I32"/>
    <mergeCell ref="A33:D33"/>
    <mergeCell ref="F33:I33"/>
    <mergeCell ref="A34:D34"/>
    <mergeCell ref="F34:I34"/>
  </mergeCells>
  <pageMargins left="0.7" right="0.7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1:O20"/>
  <sheetViews>
    <sheetView workbookViewId="0">
      <selection activeCell="M9" sqref="M9:O9"/>
    </sheetView>
  </sheetViews>
  <sheetFormatPr defaultRowHeight="12.75"/>
  <sheetData>
    <row r="1" spans="1:15" ht="15.75">
      <c r="A1" s="911" t="s">
        <v>732</v>
      </c>
      <c r="B1" s="911"/>
      <c r="C1" s="911"/>
      <c r="D1" s="911"/>
      <c r="E1" s="911"/>
      <c r="F1" s="911"/>
      <c r="G1" s="911"/>
      <c r="H1" s="911"/>
      <c r="I1" s="911"/>
      <c r="J1" s="911"/>
      <c r="K1" s="911"/>
    </row>
    <row r="3" spans="1:15" ht="30.75" customHeight="1">
      <c r="A3" s="828" t="s">
        <v>751</v>
      </c>
      <c r="B3" s="1035" t="s">
        <v>733</v>
      </c>
      <c r="C3" s="1036"/>
      <c r="D3" s="1036"/>
      <c r="E3" s="1037"/>
      <c r="F3" s="828" t="s">
        <v>734</v>
      </c>
      <c r="G3" s="828" t="s">
        <v>736</v>
      </c>
      <c r="H3" s="828" t="s">
        <v>735</v>
      </c>
      <c r="I3" s="828" t="s">
        <v>737</v>
      </c>
      <c r="J3" s="828" t="s">
        <v>738</v>
      </c>
      <c r="K3" s="828" t="s">
        <v>739</v>
      </c>
      <c r="L3" s="829" t="s">
        <v>740</v>
      </c>
    </row>
    <row r="4" spans="1:15" ht="34.5" customHeight="1">
      <c r="A4" s="830">
        <v>1</v>
      </c>
      <c r="B4" s="1039" t="s">
        <v>752</v>
      </c>
      <c r="C4" s="1040"/>
      <c r="D4" s="1040"/>
      <c r="E4" s="1041"/>
      <c r="F4" s="831">
        <f>'RCC Nalla(2.50'')'!L68</f>
        <v>2575</v>
      </c>
      <c r="G4" s="832">
        <v>0</v>
      </c>
      <c r="H4" s="832">
        <f>F4*88%</f>
        <v>2266</v>
      </c>
      <c r="I4" s="832">
        <f>F4*44%</f>
        <v>1133</v>
      </c>
      <c r="J4" s="831">
        <v>29.75</v>
      </c>
      <c r="K4" s="832">
        <v>0</v>
      </c>
      <c r="L4" s="833">
        <v>0</v>
      </c>
    </row>
    <row r="5" spans="1:15" ht="34.5" customHeight="1">
      <c r="A5" s="830">
        <v>2</v>
      </c>
      <c r="B5" s="1039" t="s">
        <v>741</v>
      </c>
      <c r="C5" s="1040"/>
      <c r="D5" s="1040"/>
      <c r="E5" s="1041"/>
      <c r="F5" s="831">
        <f>'RCC Nalla(2.50'')'!L62</f>
        <v>4600</v>
      </c>
      <c r="G5" s="832">
        <v>0</v>
      </c>
      <c r="H5" s="832">
        <f>F5*96%</f>
        <v>4416</v>
      </c>
      <c r="I5" s="832">
        <f>F5*48%</f>
        <v>2208</v>
      </c>
      <c r="J5" s="831">
        <f>F5*9.6%</f>
        <v>441.6</v>
      </c>
      <c r="K5" s="832">
        <v>0</v>
      </c>
      <c r="L5" s="833">
        <v>0</v>
      </c>
    </row>
    <row r="6" spans="1:15" ht="34.5" customHeight="1">
      <c r="A6" s="830">
        <v>3</v>
      </c>
      <c r="B6" s="1032" t="s">
        <v>753</v>
      </c>
      <c r="C6" s="1040"/>
      <c r="D6" s="1040"/>
      <c r="E6" s="1041"/>
      <c r="F6" s="831">
        <f>'RCC Nalla(2.50'')'!L88</f>
        <v>17792</v>
      </c>
      <c r="G6" s="832">
        <v>0</v>
      </c>
      <c r="H6" s="832">
        <f>F6*88%</f>
        <v>15656.960000000001</v>
      </c>
      <c r="I6" s="832">
        <f>F6*44%</f>
        <v>7828.4800000000005</v>
      </c>
      <c r="J6" s="831">
        <f>F6*17.6%</f>
        <v>3131.3920000000003</v>
      </c>
      <c r="K6" s="830">
        <v>0</v>
      </c>
      <c r="L6" s="834">
        <v>0</v>
      </c>
    </row>
    <row r="7" spans="1:15" ht="34.5" customHeight="1">
      <c r="A7" s="830">
        <v>4</v>
      </c>
      <c r="B7" s="1032" t="s">
        <v>740</v>
      </c>
      <c r="C7" s="1033"/>
      <c r="D7" s="1033"/>
      <c r="E7" s="1034"/>
      <c r="F7" s="836">
        <f>'RCC Nalla(2.50'')'!L95</f>
        <v>635.42857142857144</v>
      </c>
      <c r="G7" s="835">
        <v>0</v>
      </c>
      <c r="H7" s="835">
        <v>0</v>
      </c>
      <c r="I7" s="835">
        <v>0</v>
      </c>
      <c r="J7" s="835">
        <v>0</v>
      </c>
      <c r="K7" s="835">
        <v>0</v>
      </c>
      <c r="L7" s="836">
        <f>F7</f>
        <v>635.42857142857144</v>
      </c>
    </row>
    <row r="8" spans="1:15" s="169" customFormat="1" ht="34.5" customHeight="1">
      <c r="A8" s="830" t="s">
        <v>15</v>
      </c>
      <c r="B8" s="1035" t="s">
        <v>754</v>
      </c>
      <c r="C8" s="1036"/>
      <c r="D8" s="1036"/>
      <c r="E8" s="1037"/>
      <c r="F8" s="828"/>
      <c r="G8" s="837">
        <f t="shared" ref="G8:L8" si="0">SUM(G4:G7)</f>
        <v>0</v>
      </c>
      <c r="H8" s="837">
        <f t="shared" si="0"/>
        <v>22338.959999999999</v>
      </c>
      <c r="I8" s="837">
        <f t="shared" si="0"/>
        <v>11169.48</v>
      </c>
      <c r="J8" s="838">
        <f t="shared" si="0"/>
        <v>3602.7420000000002</v>
      </c>
      <c r="K8" s="837">
        <f t="shared" si="0"/>
        <v>0</v>
      </c>
      <c r="L8" s="838">
        <f t="shared" si="0"/>
        <v>635.42857142857144</v>
      </c>
    </row>
    <row r="9" spans="1:15">
      <c r="M9" s="1038"/>
      <c r="N9" s="1038"/>
      <c r="O9" s="1038"/>
    </row>
    <row r="20" spans="7:7">
      <c r="G20" t="s">
        <v>755</v>
      </c>
    </row>
  </sheetData>
  <mergeCells count="8">
    <mergeCell ref="B7:E7"/>
    <mergeCell ref="B8:E8"/>
    <mergeCell ref="M9:O9"/>
    <mergeCell ref="A1:K1"/>
    <mergeCell ref="B3:E3"/>
    <mergeCell ref="B4:E4"/>
    <mergeCell ref="B5:E5"/>
    <mergeCell ref="B6:E6"/>
  </mergeCells>
  <pageMargins left="1.45" right="0.7" top="0.75" bottom="0.75" header="0.3" footer="0.3"/>
  <pageSetup paperSize="9" orientation="landscape" r:id="rId1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>
  <dimension ref="A1:K31"/>
  <sheetViews>
    <sheetView topLeftCell="A16" workbookViewId="0">
      <selection activeCell="L27" sqref="L27"/>
    </sheetView>
  </sheetViews>
  <sheetFormatPr defaultRowHeight="16.5"/>
  <cols>
    <col min="1" max="1" width="7.28515625" style="384" customWidth="1"/>
    <col min="2" max="2" width="11" style="384" customWidth="1"/>
    <col min="3" max="3" width="7.28515625" style="384" customWidth="1"/>
    <col min="4" max="4" width="8.7109375" style="384" customWidth="1"/>
    <col min="5" max="5" width="9.140625" style="384"/>
    <col min="6" max="6" width="4.42578125" style="384" customWidth="1"/>
    <col min="7" max="7" width="15.42578125" style="384" customWidth="1"/>
    <col min="8" max="8" width="7" style="384" customWidth="1"/>
    <col min="9" max="16384" width="9.140625" style="384"/>
  </cols>
  <sheetData>
    <row r="1" spans="1:10">
      <c r="A1" s="965" t="s">
        <v>760</v>
      </c>
      <c r="B1" s="965"/>
      <c r="C1" s="965"/>
      <c r="D1" s="965"/>
      <c r="E1" s="965"/>
      <c r="F1" s="965"/>
      <c r="G1" s="965"/>
      <c r="H1" s="965"/>
      <c r="I1" s="965"/>
    </row>
    <row r="2" spans="1:10" ht="8.25" customHeight="1">
      <c r="H2" s="396"/>
      <c r="I2" s="393"/>
    </row>
    <row r="3" spans="1:10" ht="27" customHeight="1">
      <c r="A3" s="1042" t="s">
        <v>761</v>
      </c>
      <c r="B3" s="1042"/>
      <c r="C3" s="1042"/>
      <c r="D3" s="798" t="s">
        <v>762</v>
      </c>
      <c r="E3" s="384" t="s">
        <v>777</v>
      </c>
      <c r="H3" s="395"/>
      <c r="I3" s="408"/>
    </row>
    <row r="4" spans="1:10">
      <c r="D4" s="798"/>
    </row>
    <row r="5" spans="1:10">
      <c r="A5" s="1042" t="s">
        <v>763</v>
      </c>
      <c r="B5" s="1042"/>
      <c r="C5" s="1042"/>
      <c r="D5" s="798" t="s">
        <v>762</v>
      </c>
      <c r="E5" s="384" t="s">
        <v>778</v>
      </c>
    </row>
    <row r="6" spans="1:10">
      <c r="D6" s="798"/>
    </row>
    <row r="7" spans="1:10" ht="26.25" customHeight="1">
      <c r="A7" s="1043" t="s">
        <v>764</v>
      </c>
      <c r="B7" s="1043"/>
      <c r="C7" s="1043"/>
      <c r="D7" s="842" t="s">
        <v>762</v>
      </c>
      <c r="E7" s="1044" t="s">
        <v>779</v>
      </c>
      <c r="F7" s="1044"/>
      <c r="G7" s="1044"/>
      <c r="H7" s="1044"/>
      <c r="I7" s="1044"/>
      <c r="J7" s="841"/>
    </row>
    <row r="8" spans="1:10" ht="26.25" customHeight="1">
      <c r="D8" s="842"/>
      <c r="E8" s="390" t="s">
        <v>765</v>
      </c>
    </row>
    <row r="9" spans="1:10" ht="73.5" customHeight="1">
      <c r="A9" s="1043" t="s">
        <v>766</v>
      </c>
      <c r="B9" s="1043"/>
      <c r="C9" s="1043"/>
      <c r="D9" s="842" t="s">
        <v>762</v>
      </c>
      <c r="E9" s="1045" t="s">
        <v>780</v>
      </c>
      <c r="F9" s="1045"/>
      <c r="G9" s="1045"/>
      <c r="H9" s="1045"/>
      <c r="I9" s="1045"/>
    </row>
    <row r="10" spans="1:10" ht="15.75" customHeight="1">
      <c r="E10" s="803"/>
    </row>
    <row r="11" spans="1:10" ht="23.25" customHeight="1">
      <c r="E11" s="843" t="s">
        <v>767</v>
      </c>
      <c r="G11" s="408"/>
      <c r="H11" s="410" t="s">
        <v>783</v>
      </c>
      <c r="I11" s="844"/>
    </row>
    <row r="12" spans="1:10" ht="38.25" customHeight="1">
      <c r="E12" s="843"/>
      <c r="H12" s="412"/>
      <c r="I12" s="845"/>
    </row>
    <row r="13" spans="1:10" ht="98.25" customHeight="1">
      <c r="A13" s="1045" t="s">
        <v>781</v>
      </c>
      <c r="B13" s="1045"/>
      <c r="C13" s="1045"/>
      <c r="D13" s="1045"/>
      <c r="E13" s="1045"/>
      <c r="F13" s="1045"/>
      <c r="G13" s="1045"/>
      <c r="H13" s="1045"/>
      <c r="I13" s="1045"/>
    </row>
    <row r="14" spans="1:10" ht="35.25" customHeight="1"/>
    <row r="15" spans="1:10" ht="26.25" customHeight="1">
      <c r="E15" s="391" t="s">
        <v>768</v>
      </c>
      <c r="F15" s="390"/>
      <c r="G15" s="390"/>
      <c r="H15" s="803"/>
    </row>
    <row r="17" spans="1:11" ht="69" customHeight="1">
      <c r="A17" s="1046" t="s">
        <v>782</v>
      </c>
      <c r="B17" s="1046"/>
      <c r="C17" s="1046"/>
      <c r="D17" s="1046"/>
      <c r="E17" s="1046"/>
      <c r="F17" s="1046"/>
      <c r="G17" s="1046"/>
      <c r="H17" s="1046"/>
      <c r="I17" s="1046"/>
    </row>
    <row r="18" spans="1:11" ht="40.5" customHeight="1">
      <c r="A18" s="1047" t="s">
        <v>769</v>
      </c>
      <c r="B18" s="1047"/>
      <c r="C18" s="1047"/>
      <c r="D18" s="1047"/>
      <c r="E18" s="1047"/>
      <c r="F18" s="1047"/>
      <c r="G18" s="1047"/>
      <c r="H18" s="1047"/>
      <c r="I18" s="1047"/>
      <c r="K18" s="384" t="s">
        <v>770</v>
      </c>
    </row>
    <row r="20" spans="1:11" s="423" customFormat="1">
      <c r="A20" s="423" t="s">
        <v>771</v>
      </c>
      <c r="D20" s="1048" t="s">
        <v>772</v>
      </c>
      <c r="E20" s="1048"/>
      <c r="F20" s="1048"/>
      <c r="G20" s="1048"/>
      <c r="H20" s="1048"/>
      <c r="I20" s="1048"/>
    </row>
    <row r="22" spans="1:11">
      <c r="A22" s="384" t="s">
        <v>773</v>
      </c>
      <c r="D22" s="1042" t="s">
        <v>774</v>
      </c>
      <c r="E22" s="1042"/>
      <c r="F22" s="1042"/>
      <c r="G22" s="1042"/>
      <c r="H22" s="1042"/>
      <c r="I22" s="1042"/>
    </row>
    <row r="25" spans="1:11">
      <c r="A25" s="384" t="s">
        <v>775</v>
      </c>
      <c r="D25" s="384" t="s">
        <v>776</v>
      </c>
    </row>
    <row r="28" spans="1:11" ht="22.5" customHeight="1"/>
    <row r="29" spans="1:11">
      <c r="A29" s="962" t="s">
        <v>730</v>
      </c>
      <c r="B29" s="962"/>
      <c r="C29" s="962"/>
      <c r="D29" s="962"/>
      <c r="F29" s="962" t="s">
        <v>731</v>
      </c>
      <c r="G29" s="962"/>
      <c r="H29" s="962"/>
      <c r="I29" s="962"/>
    </row>
    <row r="30" spans="1:11">
      <c r="A30" s="962" t="s">
        <v>334</v>
      </c>
      <c r="B30" s="962"/>
      <c r="C30" s="962"/>
      <c r="D30" s="962"/>
      <c r="E30" s="803"/>
      <c r="F30" s="962" t="s">
        <v>335</v>
      </c>
      <c r="G30" s="962"/>
      <c r="H30" s="962"/>
      <c r="I30" s="962"/>
    </row>
    <row r="31" spans="1:11">
      <c r="A31" s="962" t="s">
        <v>236</v>
      </c>
      <c r="B31" s="962"/>
      <c r="C31" s="962"/>
      <c r="D31" s="962"/>
      <c r="F31" s="962" t="s">
        <v>236</v>
      </c>
      <c r="G31" s="962"/>
      <c r="H31" s="962"/>
      <c r="I31" s="962"/>
    </row>
  </sheetData>
  <mergeCells count="18">
    <mergeCell ref="A9:C9"/>
    <mergeCell ref="E9:I9"/>
    <mergeCell ref="F29:I29"/>
    <mergeCell ref="F30:I30"/>
    <mergeCell ref="F31:I31"/>
    <mergeCell ref="A13:I13"/>
    <mergeCell ref="A17:I17"/>
    <mergeCell ref="A18:I18"/>
    <mergeCell ref="D20:I20"/>
    <mergeCell ref="D22:I22"/>
    <mergeCell ref="A29:D29"/>
    <mergeCell ref="A30:D30"/>
    <mergeCell ref="A31:D31"/>
    <mergeCell ref="A1:I1"/>
    <mergeCell ref="A3:C3"/>
    <mergeCell ref="A5:C5"/>
    <mergeCell ref="A7:C7"/>
    <mergeCell ref="E7:I7"/>
  </mergeCells>
  <pageMargins left="1.21" right="0.23" top="0.22" bottom="0.19" header="0.3" footer="0.3"/>
  <pageSetup paperSize="9" orientation="portrait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1:J38"/>
  <sheetViews>
    <sheetView topLeftCell="A13" workbookViewId="0">
      <selection activeCell="K21" sqref="K21"/>
    </sheetView>
  </sheetViews>
  <sheetFormatPr defaultRowHeight="17.25"/>
  <cols>
    <col min="1" max="1" width="9.140625" style="849"/>
    <col min="2" max="2" width="7.5703125" style="849" customWidth="1"/>
    <col min="3" max="16384" width="9.140625" style="849"/>
  </cols>
  <sheetData>
    <row r="1" spans="1:10" ht="18" thickTop="1">
      <c r="A1" s="846"/>
      <c r="B1" s="847"/>
      <c r="C1" s="847"/>
      <c r="D1" s="847"/>
      <c r="E1" s="847"/>
      <c r="F1" s="847"/>
      <c r="G1" s="847"/>
      <c r="H1" s="847"/>
      <c r="I1" s="847"/>
      <c r="J1" s="848"/>
    </row>
    <row r="2" spans="1:10">
      <c r="A2" s="850"/>
      <c r="B2" s="851"/>
      <c r="C2" s="851"/>
      <c r="D2" s="851"/>
      <c r="E2" s="851"/>
      <c r="F2" s="851"/>
      <c r="G2" s="851"/>
      <c r="H2" s="851"/>
      <c r="I2" s="851"/>
      <c r="J2" s="852"/>
    </row>
    <row r="3" spans="1:10" ht="20.25">
      <c r="A3" s="1059" t="s">
        <v>784</v>
      </c>
      <c r="B3" s="1060"/>
      <c r="C3" s="1060"/>
      <c r="D3" s="1060"/>
      <c r="E3" s="1060"/>
      <c r="F3" s="1060"/>
      <c r="G3" s="1060"/>
      <c r="H3" s="1060"/>
      <c r="I3" s="1060"/>
      <c r="J3" s="1061"/>
    </row>
    <row r="4" spans="1:10" ht="20.25">
      <c r="A4" s="1059" t="s">
        <v>785</v>
      </c>
      <c r="B4" s="1060"/>
      <c r="C4" s="1060"/>
      <c r="D4" s="1060"/>
      <c r="E4" s="1060"/>
      <c r="F4" s="1060"/>
      <c r="G4" s="1060"/>
      <c r="H4" s="1060"/>
      <c r="I4" s="1060"/>
      <c r="J4" s="1061"/>
    </row>
    <row r="5" spans="1:10">
      <c r="A5" s="1049"/>
      <c r="B5" s="1050"/>
      <c r="C5" s="1050"/>
      <c r="D5" s="1050"/>
      <c r="E5" s="1050"/>
      <c r="F5" s="1050"/>
      <c r="G5" s="1050"/>
      <c r="H5" s="1050"/>
      <c r="I5" s="1050"/>
      <c r="J5" s="1051"/>
    </row>
    <row r="6" spans="1:10">
      <c r="A6" s="850"/>
      <c r="B6" s="851"/>
      <c r="C6" s="851"/>
      <c r="D6" s="851"/>
      <c r="E6" s="851"/>
      <c r="F6" s="851"/>
      <c r="G6" s="851"/>
      <c r="H6" s="851"/>
      <c r="I6" s="853"/>
      <c r="J6" s="854"/>
    </row>
    <row r="7" spans="1:10">
      <c r="A7" s="850"/>
      <c r="B7" s="851"/>
      <c r="C7" s="851"/>
      <c r="D7" s="851"/>
      <c r="F7" s="851"/>
      <c r="G7" s="851"/>
      <c r="H7" s="851"/>
      <c r="I7" s="851"/>
      <c r="J7" s="852"/>
    </row>
    <row r="8" spans="1:10">
      <c r="A8" s="850"/>
      <c r="B8" s="851"/>
      <c r="C8" s="851"/>
      <c r="D8" s="851"/>
      <c r="E8" s="851"/>
      <c r="F8" s="851"/>
      <c r="G8" s="851"/>
      <c r="H8" s="851"/>
      <c r="I8" s="851"/>
      <c r="J8" s="852"/>
    </row>
    <row r="9" spans="1:10">
      <c r="A9" s="850"/>
      <c r="B9" s="851"/>
      <c r="C9" s="851"/>
      <c r="D9" s="851"/>
      <c r="E9" s="851"/>
      <c r="F9" s="851"/>
      <c r="G9" s="851"/>
      <c r="H9" s="851"/>
      <c r="I9" s="851"/>
      <c r="J9" s="852"/>
    </row>
    <row r="10" spans="1:10">
      <c r="A10" s="850"/>
      <c r="B10" s="851"/>
      <c r="C10" s="851"/>
      <c r="D10" s="851"/>
      <c r="E10" s="851"/>
      <c r="F10" s="851"/>
      <c r="G10" s="851"/>
      <c r="H10" s="851"/>
      <c r="I10" s="851"/>
      <c r="J10" s="852"/>
    </row>
    <row r="11" spans="1:10">
      <c r="A11" s="850"/>
      <c r="B11" s="851"/>
      <c r="C11" s="851"/>
      <c r="D11" s="851"/>
      <c r="E11" s="851"/>
      <c r="F11" s="851"/>
      <c r="G11" s="851"/>
      <c r="H11" s="851"/>
      <c r="I11" s="851"/>
      <c r="J11" s="852"/>
    </row>
    <row r="12" spans="1:10">
      <c r="A12" s="850"/>
      <c r="B12" s="851"/>
      <c r="C12" s="851"/>
      <c r="D12" s="851"/>
      <c r="E12" s="851"/>
      <c r="F12" s="851"/>
      <c r="G12" s="851"/>
      <c r="H12" s="851"/>
      <c r="I12" s="851"/>
      <c r="J12" s="852"/>
    </row>
    <row r="13" spans="1:10">
      <c r="A13" s="850"/>
      <c r="B13" s="1062"/>
      <c r="C13" s="1062"/>
      <c r="D13" s="1062"/>
      <c r="E13" s="1062"/>
      <c r="F13" s="1062"/>
      <c r="G13" s="1062"/>
      <c r="H13" s="1062"/>
      <c r="I13" s="1062"/>
      <c r="J13" s="852"/>
    </row>
    <row r="14" spans="1:10" ht="18.75">
      <c r="A14" s="1063" t="s">
        <v>787</v>
      </c>
      <c r="B14" s="1064"/>
      <c r="C14" s="1064"/>
      <c r="D14" s="1064"/>
      <c r="E14" s="1064"/>
      <c r="F14" s="1064"/>
      <c r="G14" s="1064"/>
      <c r="H14" s="1064"/>
      <c r="I14" s="1064"/>
      <c r="J14" s="1065"/>
    </row>
    <row r="15" spans="1:10" ht="18.75">
      <c r="A15" s="1063" t="s">
        <v>786</v>
      </c>
      <c r="B15" s="1066"/>
      <c r="C15" s="1066"/>
      <c r="D15" s="1066"/>
      <c r="E15" s="1066"/>
      <c r="F15" s="1066"/>
      <c r="G15" s="1066"/>
      <c r="H15" s="1066"/>
      <c r="I15" s="1066"/>
      <c r="J15" s="1065"/>
    </row>
    <row r="16" spans="1:10">
      <c r="A16" s="850"/>
      <c r="B16" s="855"/>
      <c r="C16" s="851"/>
      <c r="D16" s="851"/>
      <c r="E16" s="851"/>
      <c r="F16" s="851"/>
      <c r="G16" s="851"/>
      <c r="H16" s="851"/>
      <c r="I16" s="851"/>
      <c r="J16" s="852"/>
    </row>
    <row r="17" spans="1:10">
      <c r="A17" s="850"/>
      <c r="B17" s="855"/>
      <c r="C17" s="851"/>
      <c r="D17" s="851"/>
      <c r="E17" s="851"/>
      <c r="F17" s="851"/>
      <c r="G17" s="851"/>
      <c r="H17" s="851"/>
      <c r="I17" s="851"/>
      <c r="J17" s="852"/>
    </row>
    <row r="18" spans="1:10">
      <c r="A18" s="1049"/>
      <c r="B18" s="1050"/>
      <c r="C18" s="1050"/>
      <c r="D18" s="1050"/>
      <c r="E18" s="1050"/>
      <c r="F18" s="1050"/>
      <c r="G18" s="1050"/>
      <c r="H18" s="1050"/>
      <c r="I18" s="1050"/>
      <c r="J18" s="1051"/>
    </row>
    <row r="19" spans="1:10" ht="18" thickBot="1">
      <c r="A19" s="850"/>
      <c r="B19" s="851"/>
      <c r="C19" s="851"/>
      <c r="D19" s="851"/>
      <c r="E19" s="851"/>
      <c r="F19" s="851"/>
      <c r="G19" s="851"/>
      <c r="H19" s="851"/>
      <c r="I19" s="851"/>
      <c r="J19" s="852"/>
    </row>
    <row r="20" spans="1:10" ht="18" thickTop="1">
      <c r="A20" s="1052" t="str">
        <f>'[5]FACE SHEET'!E9</f>
        <v>Detailed Working estimate for</v>
      </c>
      <c r="B20" s="1053"/>
      <c r="C20" s="1053"/>
      <c r="D20" s="1053"/>
      <c r="E20" s="1053"/>
      <c r="F20" s="1053"/>
      <c r="G20" s="1053"/>
      <c r="H20" s="1053"/>
      <c r="I20" s="1053"/>
      <c r="J20" s="1054"/>
    </row>
    <row r="21" spans="1:10" ht="56.25" customHeight="1" thickBot="1">
      <c r="A21" s="1055" t="str">
        <f>BOQ!A3:O3</f>
        <v>(A)</v>
      </c>
      <c r="B21" s="1056"/>
      <c r="C21" s="1056"/>
      <c r="D21" s="1056"/>
      <c r="E21" s="1056"/>
      <c r="F21" s="1056"/>
      <c r="G21" s="1056"/>
      <c r="H21" s="1056"/>
      <c r="I21" s="1056"/>
      <c r="J21" s="1057"/>
    </row>
    <row r="22" spans="1:10" ht="18" thickTop="1">
      <c r="A22" s="850"/>
      <c r="B22" s="851"/>
      <c r="C22" s="851"/>
      <c r="D22" s="851"/>
      <c r="E22" s="851"/>
      <c r="F22" s="851"/>
      <c r="G22" s="851"/>
      <c r="H22" s="851"/>
      <c r="I22" s="851"/>
      <c r="J22" s="852"/>
    </row>
    <row r="23" spans="1:10">
      <c r="A23" s="850"/>
      <c r="B23" s="851"/>
      <c r="C23" s="851"/>
      <c r="D23" s="851"/>
      <c r="E23" s="851"/>
      <c r="F23" s="851"/>
      <c r="G23" s="851"/>
      <c r="H23" s="851"/>
      <c r="I23" s="851"/>
      <c r="J23" s="852"/>
    </row>
    <row r="24" spans="1:10">
      <c r="A24" s="850"/>
      <c r="B24" s="851"/>
      <c r="C24" s="851"/>
      <c r="D24" s="851"/>
      <c r="E24" s="851"/>
      <c r="F24" s="851"/>
      <c r="G24" s="851"/>
      <c r="H24" s="851"/>
      <c r="I24" s="851"/>
      <c r="J24" s="852"/>
    </row>
    <row r="25" spans="1:10">
      <c r="A25" s="850"/>
      <c r="B25" s="851"/>
      <c r="C25" s="851"/>
      <c r="D25" s="851"/>
      <c r="E25" s="851"/>
      <c r="F25" s="851"/>
      <c r="G25" s="851"/>
      <c r="H25" s="851"/>
      <c r="I25" s="851"/>
      <c r="J25" s="852"/>
    </row>
    <row r="26" spans="1:10">
      <c r="A26" s="850"/>
      <c r="B26" s="851"/>
      <c r="C26" s="851"/>
      <c r="D26" s="851"/>
      <c r="E26" s="851"/>
      <c r="F26" s="851"/>
      <c r="G26" s="851"/>
      <c r="H26" s="851"/>
      <c r="I26" s="851"/>
      <c r="J26" s="852"/>
    </row>
    <row r="27" spans="1:10">
      <c r="A27" s="850"/>
      <c r="B27" s="851"/>
      <c r="C27" s="851"/>
      <c r="D27" s="851"/>
      <c r="E27" s="851"/>
      <c r="F27" s="1058" t="s">
        <v>709</v>
      </c>
      <c r="G27" s="1058"/>
      <c r="H27" s="856" t="s">
        <v>5</v>
      </c>
      <c r="I27" s="857" t="s">
        <v>788</v>
      </c>
      <c r="J27" s="852"/>
    </row>
    <row r="28" spans="1:10">
      <c r="A28" s="850"/>
      <c r="B28" s="851"/>
      <c r="C28" s="851"/>
      <c r="D28" s="851"/>
      <c r="E28" s="851"/>
      <c r="F28" s="851"/>
      <c r="G28" s="851"/>
      <c r="H28" s="851"/>
      <c r="I28" s="851"/>
      <c r="J28" s="852"/>
    </row>
    <row r="29" spans="1:10">
      <c r="A29" s="850"/>
      <c r="B29" s="851"/>
      <c r="C29" s="851"/>
      <c r="D29" s="851"/>
      <c r="E29" s="851"/>
      <c r="F29" s="851"/>
      <c r="G29" s="851"/>
      <c r="H29" s="851"/>
      <c r="I29" s="851"/>
      <c r="J29" s="852"/>
    </row>
    <row r="30" spans="1:10">
      <c r="A30" s="850"/>
      <c r="B30" s="851"/>
      <c r="C30" s="851"/>
      <c r="D30" s="851"/>
      <c r="E30" s="851"/>
      <c r="F30" s="851"/>
      <c r="G30" s="851"/>
      <c r="H30" s="851"/>
      <c r="I30" s="851"/>
      <c r="J30" s="852"/>
    </row>
    <row r="31" spans="1:10">
      <c r="A31" s="850"/>
      <c r="B31" s="851"/>
      <c r="C31" s="851"/>
      <c r="D31" s="851"/>
      <c r="E31" s="851"/>
      <c r="F31" s="851"/>
      <c r="G31" s="851"/>
      <c r="H31" s="851"/>
      <c r="I31" s="851"/>
      <c r="J31" s="852"/>
    </row>
    <row r="32" spans="1:10">
      <c r="A32" s="850"/>
      <c r="B32" s="851"/>
      <c r="C32" s="851"/>
      <c r="D32" s="851"/>
      <c r="E32" s="851"/>
      <c r="F32" s="851"/>
      <c r="G32" s="851"/>
      <c r="H32" s="851"/>
      <c r="I32" s="851"/>
      <c r="J32" s="852"/>
    </row>
    <row r="33" spans="1:10">
      <c r="A33" s="850"/>
      <c r="B33" s="851"/>
      <c r="C33" s="851"/>
      <c r="D33" s="851"/>
      <c r="E33" s="851"/>
      <c r="F33" s="851"/>
      <c r="G33" s="851"/>
      <c r="H33" s="851"/>
      <c r="I33" s="851"/>
      <c r="J33" s="852"/>
    </row>
    <row r="34" spans="1:10">
      <c r="A34" s="850"/>
      <c r="B34" s="851"/>
      <c r="C34" s="851"/>
      <c r="D34" s="851"/>
      <c r="E34" s="851"/>
      <c r="F34" s="851"/>
      <c r="G34" s="851"/>
      <c r="H34" s="851"/>
      <c r="I34" s="851"/>
      <c r="J34" s="852"/>
    </row>
    <row r="35" spans="1:10">
      <c r="A35" s="850"/>
      <c r="B35" s="851"/>
      <c r="C35" s="851"/>
      <c r="D35" s="851"/>
      <c r="E35" s="851"/>
      <c r="F35" s="851"/>
      <c r="G35" s="851"/>
      <c r="H35" s="851"/>
      <c r="I35" s="851"/>
      <c r="J35" s="852"/>
    </row>
    <row r="36" spans="1:10">
      <c r="A36" s="850"/>
      <c r="B36" s="851"/>
      <c r="C36" s="851"/>
      <c r="D36" s="851"/>
      <c r="E36" s="851"/>
      <c r="F36" s="851"/>
      <c r="G36" s="851"/>
      <c r="H36" s="851"/>
      <c r="I36" s="851"/>
      <c r="J36" s="852"/>
    </row>
    <row r="37" spans="1:10" ht="18" thickBot="1">
      <c r="A37" s="858"/>
      <c r="B37" s="859"/>
      <c r="C37" s="859"/>
      <c r="D37" s="859"/>
      <c r="E37" s="859"/>
      <c r="F37" s="859"/>
      <c r="G37" s="859"/>
      <c r="H37" s="859"/>
      <c r="I37" s="859"/>
      <c r="J37" s="860"/>
    </row>
    <row r="38" spans="1:10" ht="18" thickTop="1"/>
  </sheetData>
  <mergeCells count="10">
    <mergeCell ref="A18:J18"/>
    <mergeCell ref="A20:J20"/>
    <mergeCell ref="A21:J21"/>
    <mergeCell ref="F27:G27"/>
    <mergeCell ref="A3:J3"/>
    <mergeCell ref="A4:J4"/>
    <mergeCell ref="A5:J5"/>
    <mergeCell ref="B13:I13"/>
    <mergeCell ref="A14:J14"/>
    <mergeCell ref="A15:J15"/>
  </mergeCells>
  <pageMargins left="0.8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X276"/>
  <sheetViews>
    <sheetView topLeftCell="A58" zoomScaleSheetLayoutView="85" workbookViewId="0">
      <selection activeCell="I16" sqref="I16"/>
    </sheetView>
  </sheetViews>
  <sheetFormatPr defaultRowHeight="12.75"/>
  <cols>
    <col min="1" max="1" width="4.140625" style="267" customWidth="1"/>
    <col min="2" max="2" width="10.85546875" customWidth="1"/>
    <col min="3" max="3" width="4.42578125" customWidth="1"/>
    <col min="4" max="4" width="3" customWidth="1"/>
    <col min="5" max="5" width="7.28515625" customWidth="1"/>
    <col min="6" max="6" width="2.5703125" customWidth="1"/>
    <col min="7" max="7" width="5.5703125" customWidth="1"/>
    <col min="8" max="8" width="2.7109375" customWidth="1"/>
    <col min="9" max="9" width="6" customWidth="1"/>
    <col min="10" max="10" width="2.42578125" customWidth="1"/>
    <col min="11" max="11" width="7.7109375" customWidth="1"/>
    <col min="12" max="12" width="5" customWidth="1"/>
    <col min="13" max="13" width="3.28515625" customWidth="1"/>
    <col min="14" max="14" width="9.5703125" customWidth="1"/>
    <col min="15" max="15" width="8.140625" customWidth="1"/>
    <col min="16" max="16" width="3.7109375" customWidth="1"/>
    <col min="17" max="17" width="9.7109375" customWidth="1"/>
    <col min="18" max="18" width="0.42578125" customWidth="1"/>
    <col min="19" max="19" width="3.28515625" customWidth="1"/>
    <col min="20" max="20" width="3.5703125" customWidth="1"/>
    <col min="21" max="21" width="3.140625" customWidth="1"/>
    <col min="22" max="22" width="2.85546875" customWidth="1"/>
    <col min="23" max="23" width="6.140625" customWidth="1"/>
    <col min="24" max="29" width="9.140625" customWidth="1"/>
  </cols>
  <sheetData>
    <row r="1" spans="1:23" ht="21" customHeight="1">
      <c r="A1" s="914" t="s">
        <v>241</v>
      </c>
      <c r="B1" s="914"/>
      <c r="C1" s="914"/>
      <c r="D1" s="914"/>
      <c r="E1" s="914"/>
      <c r="F1" s="914"/>
      <c r="G1" s="914"/>
      <c r="H1" s="914"/>
      <c r="I1" s="914"/>
      <c r="J1" s="914"/>
      <c r="K1" s="914"/>
      <c r="L1" s="914"/>
      <c r="M1" s="914"/>
      <c r="N1" s="914"/>
      <c r="O1" s="914"/>
      <c r="P1" s="914"/>
      <c r="Q1" s="914"/>
      <c r="R1" s="48"/>
    </row>
    <row r="2" spans="1:23" ht="15.75">
      <c r="A2" s="267">
        <v>1</v>
      </c>
      <c r="B2" s="7" t="s">
        <v>44</v>
      </c>
      <c r="S2">
        <v>20</v>
      </c>
      <c r="T2" t="s">
        <v>46</v>
      </c>
      <c r="U2">
        <v>4</v>
      </c>
      <c r="V2" t="s">
        <v>3</v>
      </c>
      <c r="W2">
        <v>34</v>
      </c>
    </row>
    <row r="3" spans="1:23" ht="15.75">
      <c r="B3" s="7" t="s">
        <v>119</v>
      </c>
      <c r="S3">
        <v>10</v>
      </c>
      <c r="T3" t="s">
        <v>46</v>
      </c>
      <c r="U3">
        <f>U2</f>
        <v>4</v>
      </c>
      <c r="V3" t="s">
        <v>3</v>
      </c>
      <c r="W3">
        <f>S3+U3</f>
        <v>14</v>
      </c>
    </row>
    <row r="4" spans="1:23" ht="6" customHeight="1"/>
    <row r="5" spans="1:23">
      <c r="B5" s="49" t="s">
        <v>45</v>
      </c>
    </row>
    <row r="6" spans="1:23" ht="15.75">
      <c r="B6" s="20" t="s">
        <v>163</v>
      </c>
    </row>
    <row r="7" spans="1:23" ht="15.75">
      <c r="B7" s="7" t="s">
        <v>162</v>
      </c>
      <c r="C7" s="1">
        <v>4</v>
      </c>
      <c r="D7" s="1" t="s">
        <v>2</v>
      </c>
      <c r="E7" s="1">
        <v>0.78500000000000003</v>
      </c>
      <c r="F7" s="1" t="s">
        <v>2</v>
      </c>
      <c r="G7" s="122">
        <f>W2</f>
        <v>34</v>
      </c>
      <c r="H7" s="122" t="s">
        <v>2</v>
      </c>
      <c r="I7" s="122">
        <f>W2</f>
        <v>34</v>
      </c>
      <c r="J7" s="122" t="s">
        <v>2</v>
      </c>
      <c r="K7" s="122">
        <v>5</v>
      </c>
      <c r="L7" s="1"/>
      <c r="M7" t="s">
        <v>3</v>
      </c>
      <c r="N7" s="29">
        <f>C7*E7*G7*I7*K7</f>
        <v>18149.2</v>
      </c>
      <c r="O7" t="s">
        <v>18</v>
      </c>
      <c r="W7">
        <v>29</v>
      </c>
    </row>
    <row r="8" spans="1:23">
      <c r="B8" s="6"/>
      <c r="C8" s="108"/>
      <c r="D8" s="108"/>
      <c r="E8" s="108"/>
      <c r="F8" s="108"/>
      <c r="G8" s="122"/>
      <c r="H8" s="122"/>
      <c r="I8" s="122"/>
      <c r="J8" s="122"/>
      <c r="K8" s="122"/>
      <c r="L8" s="108"/>
      <c r="N8" s="50"/>
      <c r="O8" s="16"/>
    </row>
    <row r="9" spans="1:23" ht="15.75">
      <c r="B9" s="7" t="s">
        <v>164</v>
      </c>
      <c r="C9" s="108">
        <v>8</v>
      </c>
      <c r="D9" s="108" t="s">
        <v>2</v>
      </c>
      <c r="E9" s="108">
        <v>0.78500000000000003</v>
      </c>
      <c r="F9" s="108" t="s">
        <v>2</v>
      </c>
      <c r="G9" s="122">
        <f>W9</f>
        <v>29</v>
      </c>
      <c r="H9" s="122" t="s">
        <v>2</v>
      </c>
      <c r="I9" s="122">
        <f>G9</f>
        <v>29</v>
      </c>
      <c r="J9" s="122" t="s">
        <v>2</v>
      </c>
      <c r="K9" s="122">
        <v>5</v>
      </c>
      <c r="L9" s="108"/>
      <c r="M9" t="s">
        <v>3</v>
      </c>
      <c r="N9" s="29">
        <f>C9*E9*G9*I9*K9</f>
        <v>26407.4</v>
      </c>
      <c r="O9" t="s">
        <v>18</v>
      </c>
      <c r="W9">
        <v>29</v>
      </c>
    </row>
    <row r="10" spans="1:23">
      <c r="B10" s="6"/>
      <c r="C10" s="108"/>
      <c r="D10" s="108"/>
      <c r="E10" s="108"/>
      <c r="F10" s="108"/>
      <c r="G10" s="122"/>
      <c r="H10" s="122"/>
      <c r="I10" s="122"/>
      <c r="J10" s="122"/>
      <c r="K10" s="122"/>
      <c r="L10" s="108"/>
      <c r="N10" s="50"/>
      <c r="O10" s="16"/>
    </row>
    <row r="11" spans="1:23" ht="15.75">
      <c r="B11" s="7" t="s">
        <v>165</v>
      </c>
      <c r="C11" s="108">
        <v>1</v>
      </c>
      <c r="D11" s="108" t="s">
        <v>2</v>
      </c>
      <c r="E11" s="108">
        <v>0.78500000000000003</v>
      </c>
      <c r="F11" s="108" t="s">
        <v>2</v>
      </c>
      <c r="G11" s="122">
        <f>W11</f>
        <v>24</v>
      </c>
      <c r="H11" s="122" t="s">
        <v>2</v>
      </c>
      <c r="I11" s="122">
        <f>G11</f>
        <v>24</v>
      </c>
      <c r="J11" s="122" t="s">
        <v>2</v>
      </c>
      <c r="K11" s="122">
        <v>5</v>
      </c>
      <c r="L11" s="108"/>
      <c r="M11" t="s">
        <v>3</v>
      </c>
      <c r="N11" s="136">
        <f>C11*E11*G11*I11*K11</f>
        <v>2260.7999999999997</v>
      </c>
      <c r="O11" t="s">
        <v>18</v>
      </c>
      <c r="W11">
        <v>24</v>
      </c>
    </row>
    <row r="12" spans="1:23">
      <c r="B12" s="6"/>
      <c r="C12" s="108"/>
      <c r="D12" s="108"/>
      <c r="E12" s="108"/>
      <c r="F12" s="108"/>
      <c r="G12" s="122"/>
      <c r="H12" s="122"/>
      <c r="I12" s="122"/>
      <c r="J12" s="122"/>
      <c r="K12" s="122"/>
      <c r="L12" s="108"/>
      <c r="N12" s="50"/>
      <c r="O12" s="16"/>
    </row>
    <row r="13" spans="1:23" ht="14.25">
      <c r="B13" s="123" t="s">
        <v>166</v>
      </c>
      <c r="C13" s="108">
        <v>2</v>
      </c>
      <c r="D13" s="108" t="s">
        <v>2</v>
      </c>
      <c r="E13" s="108">
        <v>0.78500000000000003</v>
      </c>
      <c r="F13" s="108" t="s">
        <v>2</v>
      </c>
      <c r="G13" s="122">
        <f>W13</f>
        <v>19</v>
      </c>
      <c r="H13" s="122" t="s">
        <v>2</v>
      </c>
      <c r="I13" s="122">
        <f>G13</f>
        <v>19</v>
      </c>
      <c r="J13" s="122" t="s">
        <v>2</v>
      </c>
      <c r="K13" s="122">
        <v>5</v>
      </c>
      <c r="L13" s="108"/>
      <c r="M13" t="s">
        <v>3</v>
      </c>
      <c r="N13" s="159">
        <f>C13*E13*G13*I13*K13</f>
        <v>2833.85</v>
      </c>
      <c r="O13" t="s">
        <v>18</v>
      </c>
      <c r="W13">
        <v>19</v>
      </c>
    </row>
    <row r="14" spans="1:23" ht="14.25">
      <c r="B14" s="123" t="s">
        <v>177</v>
      </c>
      <c r="C14" s="179"/>
      <c r="D14" s="179"/>
      <c r="E14" s="179"/>
      <c r="F14" s="179"/>
      <c r="G14" s="182"/>
      <c r="H14" s="182"/>
      <c r="I14" s="182"/>
      <c r="J14" s="182"/>
      <c r="K14" s="182"/>
      <c r="L14" s="179"/>
      <c r="N14" s="159"/>
    </row>
    <row r="15" spans="1:23" ht="14.25">
      <c r="B15" s="123" t="s">
        <v>199</v>
      </c>
      <c r="C15" s="179">
        <v>10</v>
      </c>
      <c r="D15" s="179" t="s">
        <v>2</v>
      </c>
      <c r="E15" s="179">
        <v>0.78500000000000003</v>
      </c>
      <c r="F15" s="179" t="s">
        <v>2</v>
      </c>
      <c r="G15" s="182">
        <v>14</v>
      </c>
      <c r="H15" s="182" t="s">
        <v>2</v>
      </c>
      <c r="I15" s="182">
        <f>G15</f>
        <v>14</v>
      </c>
      <c r="J15" s="182" t="s">
        <v>2</v>
      </c>
      <c r="K15" s="182">
        <v>5</v>
      </c>
      <c r="L15" s="179"/>
      <c r="M15" t="s">
        <v>3</v>
      </c>
      <c r="N15" s="159">
        <f>C15*E15*G15*I15*K15</f>
        <v>7693.0000000000009</v>
      </c>
      <c r="O15" t="s">
        <v>18</v>
      </c>
    </row>
    <row r="16" spans="1:23" ht="15.75" customHeight="1"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t="s">
        <v>21</v>
      </c>
      <c r="N16" s="145">
        <f>SUM(N7:N15)</f>
        <v>57344.250000000007</v>
      </c>
      <c r="O16" s="6" t="s">
        <v>167</v>
      </c>
    </row>
    <row r="17" spans="1:18">
      <c r="C17" s="1"/>
      <c r="D17" s="1"/>
      <c r="E17" s="1"/>
      <c r="F17" s="1"/>
      <c r="G17" s="1"/>
      <c r="H17" s="1"/>
      <c r="I17" s="1"/>
      <c r="J17" s="1"/>
      <c r="K17" s="1"/>
      <c r="L17" s="1"/>
      <c r="N17" s="51"/>
      <c r="O17" s="3"/>
    </row>
    <row r="18" spans="1:18">
      <c r="B18" s="36">
        <f>N16</f>
        <v>57344.250000000007</v>
      </c>
      <c r="C18" s="111" t="s">
        <v>167</v>
      </c>
      <c r="D18" s="47"/>
      <c r="E18" s="1"/>
      <c r="F18" s="1"/>
      <c r="G18" s="1"/>
      <c r="H18" s="1"/>
      <c r="I18" s="1"/>
      <c r="J18" s="1"/>
      <c r="K18" s="1"/>
      <c r="L18" s="1"/>
      <c r="M18" s="9" t="s">
        <v>47</v>
      </c>
      <c r="N18" s="25">
        <v>2247.58</v>
      </c>
      <c r="O18" s="19" t="s">
        <v>1</v>
      </c>
      <c r="P18" s="9" t="s">
        <v>16</v>
      </c>
      <c r="Q18" s="10">
        <f>B18*N18/1000</f>
        <v>128885.78941500001</v>
      </c>
    </row>
    <row r="19" spans="1:18">
      <c r="C19" s="1"/>
      <c r="D19" s="1"/>
      <c r="E19" s="1"/>
      <c r="F19" s="1"/>
      <c r="G19" s="1"/>
      <c r="H19" s="1"/>
      <c r="I19" s="1"/>
      <c r="J19" s="1"/>
      <c r="K19" s="1"/>
      <c r="L19" s="4"/>
      <c r="N19" s="9"/>
      <c r="O19" s="5"/>
      <c r="P19" s="19"/>
      <c r="Q19" s="9"/>
      <c r="R19" s="5"/>
    </row>
    <row r="20" spans="1:18" ht="8.25" customHeight="1">
      <c r="C20" s="108"/>
      <c r="D20" s="108"/>
      <c r="E20" s="108"/>
      <c r="F20" s="108"/>
      <c r="G20" s="108"/>
      <c r="H20" s="108"/>
      <c r="I20" s="112" t="s">
        <v>179</v>
      </c>
      <c r="J20" s="108"/>
      <c r="K20" s="108"/>
      <c r="L20" s="115"/>
      <c r="N20" s="109"/>
      <c r="O20" s="5"/>
      <c r="P20" s="19"/>
      <c r="Q20" s="109"/>
      <c r="R20" s="5"/>
    </row>
    <row r="21" spans="1:18" ht="15.75">
      <c r="A21" s="267">
        <v>2</v>
      </c>
      <c r="B21" s="21" t="s">
        <v>49</v>
      </c>
      <c r="C21" s="1"/>
      <c r="D21" s="1"/>
      <c r="E21" s="1"/>
      <c r="F21" s="1"/>
      <c r="G21" s="1"/>
      <c r="H21" s="1"/>
      <c r="I21" s="1"/>
      <c r="J21" s="1"/>
      <c r="K21" s="1"/>
      <c r="L21" s="1"/>
      <c r="N21" s="9"/>
      <c r="O21" s="5"/>
      <c r="P21" s="19"/>
      <c r="Q21" s="9"/>
      <c r="R21" s="5"/>
    </row>
    <row r="22" spans="1:18">
      <c r="B22" t="s">
        <v>50</v>
      </c>
      <c r="C22" s="1"/>
      <c r="D22" s="1"/>
      <c r="E22" s="1"/>
      <c r="F22" s="1"/>
      <c r="G22" s="1"/>
      <c r="H22" s="1"/>
      <c r="I22" s="1"/>
      <c r="J22" s="1"/>
      <c r="K22" s="1"/>
      <c r="L22" s="1"/>
      <c r="N22" s="9"/>
      <c r="O22" s="5"/>
      <c r="P22" s="19"/>
      <c r="Q22" s="9"/>
      <c r="R22" s="5"/>
    </row>
    <row r="23" spans="1:18">
      <c r="B23" t="s">
        <v>51</v>
      </c>
      <c r="C23" s="1"/>
      <c r="D23" s="1"/>
      <c r="E23" s="1"/>
      <c r="F23" s="1"/>
      <c r="G23" s="1"/>
      <c r="H23" s="1"/>
      <c r="I23" s="1"/>
      <c r="J23" s="1"/>
      <c r="K23" s="1"/>
      <c r="L23" s="1"/>
      <c r="N23" s="9"/>
      <c r="O23" s="5"/>
      <c r="P23" s="19"/>
      <c r="Q23" s="9"/>
      <c r="R23" s="5"/>
    </row>
    <row r="24" spans="1:18">
      <c r="B24" t="s">
        <v>52</v>
      </c>
      <c r="C24" s="1"/>
      <c r="D24" s="1"/>
      <c r="E24" s="1"/>
      <c r="F24" s="1"/>
      <c r="G24" s="1"/>
      <c r="H24" s="1"/>
      <c r="I24" s="1"/>
      <c r="J24" s="1"/>
      <c r="K24" s="1"/>
      <c r="L24" s="1"/>
      <c r="N24" s="9"/>
      <c r="O24" s="5"/>
      <c r="P24" s="19"/>
      <c r="Q24" s="9"/>
      <c r="R24" s="5"/>
    </row>
    <row r="25" spans="1:18">
      <c r="B25" t="s">
        <v>53</v>
      </c>
      <c r="C25" s="1"/>
      <c r="D25" s="1"/>
      <c r="E25" s="1"/>
      <c r="F25" s="1"/>
      <c r="G25" s="1"/>
      <c r="H25" s="1"/>
      <c r="I25" s="1"/>
      <c r="J25" s="1"/>
      <c r="K25" s="1"/>
      <c r="L25" s="1"/>
      <c r="N25" s="9"/>
      <c r="O25" s="5"/>
      <c r="P25" s="19"/>
      <c r="Q25" s="9"/>
      <c r="R25" s="5"/>
    </row>
    <row r="26" spans="1:18">
      <c r="B26" t="s">
        <v>54</v>
      </c>
      <c r="C26" s="1"/>
      <c r="D26" s="1"/>
      <c r="E26" s="1"/>
      <c r="F26" s="1"/>
      <c r="G26" s="1"/>
      <c r="H26" s="1"/>
      <c r="I26" s="1"/>
      <c r="J26" s="1"/>
      <c r="K26" s="1"/>
      <c r="L26" s="1"/>
      <c r="N26" s="9"/>
      <c r="O26" s="5"/>
      <c r="P26" s="19"/>
      <c r="Q26" s="9"/>
      <c r="R26" s="5"/>
    </row>
    <row r="27" spans="1:18">
      <c r="B27" t="s">
        <v>55</v>
      </c>
      <c r="C27" s="1"/>
      <c r="D27" s="1"/>
      <c r="E27" s="1"/>
      <c r="F27" s="1"/>
      <c r="G27" s="1"/>
      <c r="H27" s="1"/>
      <c r="I27" s="1"/>
      <c r="J27" s="1"/>
      <c r="K27" s="1"/>
      <c r="L27" s="1"/>
      <c r="N27" s="9"/>
      <c r="O27" s="5"/>
      <c r="P27" s="19"/>
      <c r="Q27" s="9"/>
      <c r="R27" s="5"/>
    </row>
    <row r="28" spans="1:18">
      <c r="B28" s="6" t="s">
        <v>120</v>
      </c>
      <c r="C28" s="1"/>
      <c r="D28" s="1"/>
      <c r="E28" s="1"/>
      <c r="F28" s="1"/>
      <c r="G28" s="1"/>
      <c r="H28" s="1"/>
      <c r="I28" s="1"/>
      <c r="J28" s="1"/>
      <c r="K28" s="1"/>
      <c r="L28" s="1"/>
      <c r="N28" s="9"/>
      <c r="O28" s="5"/>
      <c r="P28" s="19"/>
      <c r="Q28" s="9"/>
      <c r="R28" s="5"/>
    </row>
    <row r="29" spans="1:18">
      <c r="A29" s="268" t="s">
        <v>201</v>
      </c>
      <c r="B29" s="3" t="s">
        <v>56</v>
      </c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N29" s="109"/>
      <c r="O29" s="5"/>
      <c r="P29" s="19"/>
      <c r="Q29" s="109"/>
      <c r="R29" s="5"/>
    </row>
    <row r="30" spans="1:18" ht="15.75">
      <c r="B30" s="7" t="s">
        <v>162</v>
      </c>
      <c r="C30" s="1">
        <f>C7</f>
        <v>4</v>
      </c>
      <c r="D30" s="1" t="s">
        <v>2</v>
      </c>
      <c r="E30" s="1">
        <v>3.14</v>
      </c>
      <c r="F30" s="1" t="s">
        <v>2</v>
      </c>
      <c r="G30" s="122">
        <v>31</v>
      </c>
      <c r="H30" s="1" t="s">
        <v>2</v>
      </c>
      <c r="I30" s="110">
        <v>1.5</v>
      </c>
      <c r="J30" s="1" t="s">
        <v>2</v>
      </c>
      <c r="K30" s="110">
        <v>2</v>
      </c>
      <c r="L30" s="1"/>
      <c r="M30" t="s">
        <v>3</v>
      </c>
      <c r="N30" s="29">
        <f>C30*E30*G30*I30*K30</f>
        <v>1168.08</v>
      </c>
      <c r="O30" s="5" t="s">
        <v>18</v>
      </c>
      <c r="P30" s="19"/>
      <c r="Q30" s="9"/>
      <c r="R30" s="5" t="s">
        <v>15</v>
      </c>
    </row>
    <row r="31" spans="1:18" ht="18" customHeight="1">
      <c r="B31" s="7" t="s">
        <v>168</v>
      </c>
      <c r="C31" s="108">
        <f>C9</f>
        <v>8</v>
      </c>
      <c r="D31" s="108" t="s">
        <v>2</v>
      </c>
      <c r="E31" s="108">
        <v>3.14</v>
      </c>
      <c r="F31" s="108" t="s">
        <v>2</v>
      </c>
      <c r="G31" s="122">
        <v>26</v>
      </c>
      <c r="H31" s="108" t="s">
        <v>2</v>
      </c>
      <c r="I31" s="110">
        <v>1.5</v>
      </c>
      <c r="J31" s="108" t="s">
        <v>2</v>
      </c>
      <c r="K31" s="110">
        <v>2</v>
      </c>
      <c r="L31" s="108"/>
      <c r="M31" t="s">
        <v>3</v>
      </c>
      <c r="N31" s="29">
        <f>C31*E31*G31*I31*K31</f>
        <v>1959.3600000000001</v>
      </c>
      <c r="O31" s="5" t="s">
        <v>18</v>
      </c>
      <c r="P31" s="19"/>
      <c r="Q31" s="109"/>
      <c r="R31" s="5"/>
    </row>
    <row r="32" spans="1:18" ht="18" customHeight="1">
      <c r="B32" s="7" t="s">
        <v>169</v>
      </c>
      <c r="C32" s="108">
        <f>C11</f>
        <v>1</v>
      </c>
      <c r="D32" s="108" t="s">
        <v>2</v>
      </c>
      <c r="E32" s="108">
        <v>3.14</v>
      </c>
      <c r="F32" s="108" t="s">
        <v>2</v>
      </c>
      <c r="G32" s="122">
        <v>21</v>
      </c>
      <c r="H32" s="108" t="s">
        <v>2</v>
      </c>
      <c r="I32" s="110">
        <v>1.5</v>
      </c>
      <c r="J32" s="108" t="s">
        <v>2</v>
      </c>
      <c r="K32" s="110">
        <v>2</v>
      </c>
      <c r="L32" s="108"/>
      <c r="M32" t="s">
        <v>3</v>
      </c>
      <c r="N32" s="29">
        <f>C32*E32*G32*I32*K32</f>
        <v>197.82</v>
      </c>
      <c r="O32" s="25" t="s">
        <v>18</v>
      </c>
      <c r="P32" s="19"/>
      <c r="Q32" s="109"/>
      <c r="R32" s="5"/>
    </row>
    <row r="33" spans="1:18" ht="22.5" customHeight="1">
      <c r="B33" s="7" t="s">
        <v>170</v>
      </c>
      <c r="C33" s="108">
        <f>C13</f>
        <v>2</v>
      </c>
      <c r="D33" s="108" t="s">
        <v>2</v>
      </c>
      <c r="E33" s="108">
        <v>3.14</v>
      </c>
      <c r="F33" s="108" t="s">
        <v>2</v>
      </c>
      <c r="G33" s="122">
        <v>16</v>
      </c>
      <c r="H33" s="108" t="s">
        <v>2</v>
      </c>
      <c r="I33" s="110">
        <v>1.5</v>
      </c>
      <c r="J33" s="108" t="s">
        <v>2</v>
      </c>
      <c r="K33" s="110">
        <v>2</v>
      </c>
      <c r="L33" s="108"/>
      <c r="M33" t="s">
        <v>3</v>
      </c>
      <c r="N33" s="29">
        <f>C33*E33*G33*I33*K33</f>
        <v>301.44</v>
      </c>
      <c r="O33" s="25" t="s">
        <v>18</v>
      </c>
      <c r="P33" s="19"/>
      <c r="Q33" s="109"/>
      <c r="R33" s="5"/>
    </row>
    <row r="34" spans="1:18" ht="27" customHeight="1">
      <c r="B34" s="190" t="s">
        <v>208</v>
      </c>
      <c r="C34" s="169">
        <f>C15</f>
        <v>10</v>
      </c>
      <c r="D34" s="169" t="s">
        <v>2</v>
      </c>
      <c r="E34" s="169">
        <v>3.14</v>
      </c>
      <c r="F34" s="169" t="s">
        <v>2</v>
      </c>
      <c r="G34" s="171">
        <v>11</v>
      </c>
      <c r="H34" s="169" t="s">
        <v>2</v>
      </c>
      <c r="I34" s="170">
        <v>1.5</v>
      </c>
      <c r="J34" s="169" t="s">
        <v>2</v>
      </c>
      <c r="K34" s="170">
        <v>2</v>
      </c>
      <c r="L34" s="169"/>
      <c r="M34" s="43" t="s">
        <v>3</v>
      </c>
      <c r="N34" s="209">
        <f>C34*E34*G34*I34*K34</f>
        <v>1036.2</v>
      </c>
      <c r="O34" s="208" t="s">
        <v>18</v>
      </c>
      <c r="P34" s="19"/>
      <c r="Q34" s="181"/>
      <c r="R34" s="5"/>
    </row>
    <row r="35" spans="1:18" ht="15.75" customHeight="1">
      <c r="B35" s="7"/>
      <c r="C35" s="179"/>
      <c r="D35" s="179"/>
      <c r="E35" s="179"/>
      <c r="F35" s="179"/>
      <c r="G35" s="182"/>
      <c r="H35" s="179"/>
      <c r="I35" s="180"/>
      <c r="J35" s="179"/>
      <c r="K35" s="180"/>
      <c r="L35" s="183" t="s">
        <v>4</v>
      </c>
      <c r="M35" s="6" t="s">
        <v>201</v>
      </c>
      <c r="N35" s="51">
        <f>SUM(N30:N34)</f>
        <v>4662.9000000000005</v>
      </c>
      <c r="O35" s="25" t="s">
        <v>18</v>
      </c>
      <c r="P35" s="19"/>
      <c r="Q35" s="181"/>
      <c r="R35" s="5"/>
    </row>
    <row r="36" spans="1:18">
      <c r="B36" s="16" t="s">
        <v>200</v>
      </c>
      <c r="C36" s="108"/>
      <c r="D36" s="108"/>
      <c r="E36" s="108"/>
      <c r="F36" s="108"/>
      <c r="G36" s="108"/>
      <c r="H36" s="108"/>
      <c r="I36" s="110"/>
      <c r="J36" s="108"/>
      <c r="K36" s="110"/>
      <c r="L36" s="108"/>
      <c r="N36" s="29"/>
      <c r="O36" s="5"/>
      <c r="P36" s="19"/>
      <c r="Q36" s="109"/>
      <c r="R36" s="5"/>
    </row>
    <row r="37" spans="1:18" ht="15.75">
      <c r="B37" s="7" t="s">
        <v>171</v>
      </c>
      <c r="C37" s="151">
        <f>C7</f>
        <v>4</v>
      </c>
      <c r="D37" s="108" t="s">
        <v>2</v>
      </c>
      <c r="E37" s="160" t="s">
        <v>191</v>
      </c>
      <c r="F37" s="108" t="s">
        <v>2</v>
      </c>
      <c r="G37" s="152">
        <v>3.14</v>
      </c>
      <c r="H37" s="108" t="s">
        <v>2</v>
      </c>
      <c r="I37" s="161">
        <v>30.67</v>
      </c>
      <c r="J37" s="34" t="s">
        <v>2</v>
      </c>
      <c r="K37" s="161">
        <v>1.17</v>
      </c>
      <c r="L37" s="110">
        <v>1.25</v>
      </c>
      <c r="M37" t="s">
        <v>3</v>
      </c>
      <c r="N37" s="29">
        <f>C37*0.5*G37*I37*K37*1.25</f>
        <v>281.68861500000003</v>
      </c>
      <c r="O37" s="5" t="s">
        <v>18</v>
      </c>
      <c r="P37" s="19"/>
      <c r="Q37" s="109"/>
      <c r="R37" s="5"/>
    </row>
    <row r="38" spans="1:18" ht="15.75">
      <c r="B38" s="7"/>
      <c r="C38" s="108"/>
      <c r="D38" s="108"/>
      <c r="E38" s="108"/>
      <c r="F38" s="108"/>
      <c r="G38" s="122"/>
      <c r="H38" s="108"/>
      <c r="I38" s="108"/>
      <c r="J38" s="108"/>
      <c r="K38" s="108"/>
      <c r="L38" s="108"/>
      <c r="N38" s="29"/>
      <c r="O38" s="5"/>
      <c r="P38" s="19"/>
      <c r="Q38" s="109"/>
      <c r="R38" s="5"/>
    </row>
    <row r="39" spans="1:18" ht="15.75">
      <c r="B39" s="7" t="s">
        <v>172</v>
      </c>
      <c r="C39" s="151">
        <f>C9</f>
        <v>8</v>
      </c>
      <c r="D39" s="151" t="s">
        <v>2</v>
      </c>
      <c r="E39" s="160" t="s">
        <v>191</v>
      </c>
      <c r="F39" s="151" t="s">
        <v>2</v>
      </c>
      <c r="G39" s="152">
        <v>3.14</v>
      </c>
      <c r="H39" s="151" t="s">
        <v>2</v>
      </c>
      <c r="I39" s="161">
        <v>25.67</v>
      </c>
      <c r="J39" s="34" t="s">
        <v>2</v>
      </c>
      <c r="K39" s="161">
        <f>K37</f>
        <v>1.17</v>
      </c>
      <c r="L39" s="152">
        <v>1.25</v>
      </c>
      <c r="M39" t="s">
        <v>3</v>
      </c>
      <c r="N39" s="29">
        <f>C39*0.5*G39*I39*K39*1.25</f>
        <v>471.53223000000003</v>
      </c>
      <c r="O39" s="5" t="s">
        <v>18</v>
      </c>
      <c r="P39" s="19"/>
      <c r="Q39" s="109"/>
      <c r="R39" s="5"/>
    </row>
    <row r="40" spans="1:18" ht="15.75">
      <c r="B40" s="7"/>
      <c r="C40" s="108"/>
      <c r="D40" s="108"/>
      <c r="E40" s="108"/>
      <c r="F40" s="108"/>
      <c r="G40" s="122"/>
      <c r="H40" s="108"/>
      <c r="I40" s="108"/>
      <c r="J40" s="108"/>
      <c r="K40" s="108"/>
      <c r="L40" s="108"/>
      <c r="N40" s="29"/>
      <c r="O40" s="5"/>
      <c r="P40" s="19"/>
      <c r="Q40" s="109"/>
      <c r="R40" s="5"/>
    </row>
    <row r="41" spans="1:18" ht="15.75">
      <c r="B41" s="7" t="s">
        <v>173</v>
      </c>
      <c r="C41" s="151">
        <f>C32</f>
        <v>1</v>
      </c>
      <c r="D41" s="151" t="s">
        <v>2</v>
      </c>
      <c r="E41" s="160" t="s">
        <v>191</v>
      </c>
      <c r="F41" s="151" t="s">
        <v>2</v>
      </c>
      <c r="G41" s="152">
        <v>3.14</v>
      </c>
      <c r="H41" s="151" t="s">
        <v>2</v>
      </c>
      <c r="I41" s="161">
        <v>20.67</v>
      </c>
      <c r="J41" s="34" t="s">
        <v>2</v>
      </c>
      <c r="K41" s="161">
        <f>K39</f>
        <v>1.17</v>
      </c>
      <c r="L41" s="152">
        <v>1.25</v>
      </c>
      <c r="M41" t="s">
        <v>3</v>
      </c>
      <c r="N41" s="29">
        <f>C41*0.5*G41*I41*K41*1.25</f>
        <v>47.46090375</v>
      </c>
      <c r="O41" s="5" t="s">
        <v>18</v>
      </c>
      <c r="P41" s="19"/>
      <c r="Q41" s="109"/>
      <c r="R41" s="5"/>
    </row>
    <row r="42" spans="1:18" ht="15.75">
      <c r="B42" s="7"/>
      <c r="C42" s="108"/>
      <c r="D42" s="108"/>
      <c r="E42" s="108"/>
      <c r="F42" s="108"/>
      <c r="G42" s="122"/>
      <c r="H42" s="108"/>
      <c r="I42" s="108"/>
      <c r="J42" s="108"/>
      <c r="K42" s="144"/>
      <c r="L42" s="108"/>
      <c r="N42" s="29"/>
      <c r="O42" s="5"/>
      <c r="P42" s="19"/>
      <c r="Q42" s="109"/>
      <c r="R42" s="5"/>
    </row>
    <row r="43" spans="1:18" ht="15.75">
      <c r="B43" s="7" t="s">
        <v>174</v>
      </c>
      <c r="C43" s="151">
        <f>C13</f>
        <v>2</v>
      </c>
      <c r="D43" s="151" t="s">
        <v>2</v>
      </c>
      <c r="E43" s="160" t="s">
        <v>191</v>
      </c>
      <c r="F43" s="151" t="s">
        <v>2</v>
      </c>
      <c r="G43" s="152">
        <v>3.14</v>
      </c>
      <c r="H43" s="151" t="s">
        <v>2</v>
      </c>
      <c r="I43" s="161">
        <v>15.67</v>
      </c>
      <c r="J43" s="34" t="s">
        <v>2</v>
      </c>
      <c r="K43" s="161">
        <f>K39</f>
        <v>1.17</v>
      </c>
      <c r="L43" s="152">
        <v>1.25</v>
      </c>
      <c r="M43" t="s">
        <v>3</v>
      </c>
      <c r="N43" s="159">
        <f>C43*0.5*G43*I43*K43*1.25</f>
        <v>71.960557499999993</v>
      </c>
      <c r="O43" s="5" t="s">
        <v>18</v>
      </c>
      <c r="P43" s="19"/>
      <c r="Q43" s="109"/>
      <c r="R43" s="5"/>
    </row>
    <row r="44" spans="1:18" ht="24" customHeight="1">
      <c r="B44" s="7" t="s">
        <v>209</v>
      </c>
      <c r="C44" s="179">
        <f>C34</f>
        <v>10</v>
      </c>
      <c r="D44" s="179" t="s">
        <v>2</v>
      </c>
      <c r="E44" s="160" t="s">
        <v>191</v>
      </c>
      <c r="F44" s="179" t="s">
        <v>2</v>
      </c>
      <c r="G44" s="180">
        <v>3.14</v>
      </c>
      <c r="H44" s="179" t="s">
        <v>2</v>
      </c>
      <c r="I44" s="161">
        <v>10.67</v>
      </c>
      <c r="J44" s="34" t="s">
        <v>2</v>
      </c>
      <c r="K44" s="161">
        <f>K39</f>
        <v>1.17</v>
      </c>
      <c r="L44" s="180">
        <v>1.25</v>
      </c>
      <c r="M44" t="s">
        <v>3</v>
      </c>
      <c r="N44" s="120">
        <f>C44*0.5*G44*I44*K44*1.25</f>
        <v>244.99653749999999</v>
      </c>
      <c r="O44" s="5"/>
      <c r="P44" s="19"/>
      <c r="Q44" s="181"/>
      <c r="R44" s="5"/>
    </row>
    <row r="45" spans="1:18" ht="15.75">
      <c r="B45" s="20"/>
      <c r="C45" s="108"/>
      <c r="D45" s="108"/>
      <c r="E45" s="108"/>
      <c r="F45" s="108"/>
      <c r="G45" s="108"/>
      <c r="H45" s="108"/>
      <c r="I45" s="108"/>
      <c r="J45" s="108"/>
      <c r="K45" s="108"/>
      <c r="L45" s="108"/>
      <c r="N45" s="51">
        <v>780.77</v>
      </c>
      <c r="O45" s="5" t="s">
        <v>18</v>
      </c>
      <c r="P45" s="19"/>
      <c r="Q45" s="109"/>
      <c r="R45" s="5"/>
    </row>
    <row r="46" spans="1:18" ht="15.75">
      <c r="B46" s="20" t="s">
        <v>202</v>
      </c>
      <c r="C46" s="912">
        <f>N35</f>
        <v>4662.9000000000005</v>
      </c>
      <c r="D46" s="913"/>
      <c r="E46" s="913"/>
      <c r="F46" s="134" t="s">
        <v>203</v>
      </c>
      <c r="G46" s="912">
        <f>N45</f>
        <v>780.77</v>
      </c>
      <c r="H46" s="912"/>
      <c r="I46" s="179"/>
      <c r="J46" s="183"/>
      <c r="K46" s="179"/>
      <c r="L46" s="179"/>
      <c r="M46" s="6" t="s">
        <v>21</v>
      </c>
      <c r="N46" s="51">
        <f>C46-G46</f>
        <v>3882.1300000000006</v>
      </c>
      <c r="O46" s="25" t="s">
        <v>18</v>
      </c>
      <c r="P46" s="19"/>
      <c r="Q46" s="181"/>
      <c r="R46" s="5"/>
    </row>
    <row r="47" spans="1:18">
      <c r="A47" s="268" t="s">
        <v>204</v>
      </c>
      <c r="B47" s="49" t="s">
        <v>175</v>
      </c>
      <c r="C47" s="108"/>
      <c r="D47" s="108"/>
      <c r="E47" s="108"/>
      <c r="F47" s="108"/>
      <c r="G47" s="108"/>
      <c r="H47" s="108"/>
      <c r="I47" s="108"/>
      <c r="J47" s="108"/>
      <c r="K47" s="108"/>
      <c r="L47" s="108"/>
      <c r="N47" s="29"/>
      <c r="O47" s="5"/>
      <c r="P47" s="19"/>
      <c r="Q47" s="109"/>
      <c r="R47" s="5"/>
    </row>
    <row r="48" spans="1:18" ht="15.75">
      <c r="B48" s="7" t="s">
        <v>162</v>
      </c>
      <c r="C48" s="108">
        <f>C30</f>
        <v>4</v>
      </c>
      <c r="D48" s="108" t="s">
        <v>2</v>
      </c>
      <c r="E48" s="108">
        <v>3.14</v>
      </c>
      <c r="F48" s="108" t="s">
        <v>2</v>
      </c>
      <c r="G48" s="122">
        <f>G30</f>
        <v>31</v>
      </c>
      <c r="H48" s="108" t="s">
        <v>2</v>
      </c>
      <c r="I48" s="122">
        <v>1</v>
      </c>
      <c r="J48" s="108" t="s">
        <v>2</v>
      </c>
      <c r="K48" s="122">
        <v>20</v>
      </c>
      <c r="L48" s="108"/>
      <c r="M48" t="s">
        <v>3</v>
      </c>
      <c r="N48" s="29">
        <f>C48*E48*G48*I48*K48</f>
        <v>7787.2000000000007</v>
      </c>
      <c r="O48" s="5" t="s">
        <v>18</v>
      </c>
      <c r="P48" s="19"/>
      <c r="Q48" s="109"/>
      <c r="R48" s="5"/>
    </row>
    <row r="49" spans="1:18" ht="24.75" customHeight="1">
      <c r="B49" s="7" t="s">
        <v>164</v>
      </c>
      <c r="C49" s="108">
        <f>C31</f>
        <v>8</v>
      </c>
      <c r="D49" s="108" t="s">
        <v>2</v>
      </c>
      <c r="E49" s="108">
        <v>3.14</v>
      </c>
      <c r="F49" s="108" t="s">
        <v>2</v>
      </c>
      <c r="G49" s="122">
        <f>G31</f>
        <v>26</v>
      </c>
      <c r="H49" s="108" t="s">
        <v>2</v>
      </c>
      <c r="I49" s="122">
        <v>1</v>
      </c>
      <c r="J49" s="108" t="s">
        <v>2</v>
      </c>
      <c r="K49" s="122">
        <v>20</v>
      </c>
      <c r="L49" s="108"/>
      <c r="M49" t="s">
        <v>3</v>
      </c>
      <c r="N49" s="29">
        <f>C49*E49*G49*I49*K49</f>
        <v>13062.4</v>
      </c>
      <c r="O49" s="5" t="s">
        <v>18</v>
      </c>
      <c r="P49" s="19"/>
      <c r="Q49" s="109"/>
      <c r="R49" s="5"/>
    </row>
    <row r="50" spans="1:18" ht="23.25" customHeight="1">
      <c r="B50" s="7" t="s">
        <v>165</v>
      </c>
      <c r="C50" s="108">
        <f>C32</f>
        <v>1</v>
      </c>
      <c r="D50" s="108" t="s">
        <v>2</v>
      </c>
      <c r="E50" s="108">
        <v>3.14</v>
      </c>
      <c r="F50" s="108" t="s">
        <v>2</v>
      </c>
      <c r="G50" s="122">
        <f>G32</f>
        <v>21</v>
      </c>
      <c r="H50" s="108" t="s">
        <v>2</v>
      </c>
      <c r="I50" s="122">
        <v>1</v>
      </c>
      <c r="J50" s="108" t="s">
        <v>2</v>
      </c>
      <c r="K50" s="122">
        <v>20</v>
      </c>
      <c r="L50" s="108"/>
      <c r="M50" t="s">
        <v>3</v>
      </c>
      <c r="N50" s="29">
        <f>C50*E50*G50*I50*K50</f>
        <v>1318.8</v>
      </c>
      <c r="O50" s="5" t="s">
        <v>18</v>
      </c>
      <c r="P50" s="19"/>
      <c r="Q50" s="109"/>
      <c r="R50" s="5"/>
    </row>
    <row r="51" spans="1:18" ht="22.5" customHeight="1">
      <c r="B51" s="7" t="s">
        <v>176</v>
      </c>
      <c r="C51" s="108">
        <f>C33</f>
        <v>2</v>
      </c>
      <c r="D51" s="108" t="s">
        <v>2</v>
      </c>
      <c r="E51" s="108">
        <v>3.14</v>
      </c>
      <c r="F51" s="108" t="s">
        <v>2</v>
      </c>
      <c r="G51" s="122">
        <f>G33</f>
        <v>16</v>
      </c>
      <c r="H51" s="108" t="s">
        <v>2</v>
      </c>
      <c r="I51" s="122">
        <v>1</v>
      </c>
      <c r="J51" s="108" t="s">
        <v>2</v>
      </c>
      <c r="K51" s="122">
        <v>20</v>
      </c>
      <c r="L51" s="108"/>
      <c r="M51" t="s">
        <v>3</v>
      </c>
      <c r="N51" s="29">
        <f>C51*E51*G51*I51*K51</f>
        <v>2009.6000000000001</v>
      </c>
      <c r="O51" s="5" t="s">
        <v>18</v>
      </c>
      <c r="P51" s="19"/>
      <c r="Q51" s="109"/>
      <c r="R51" s="5"/>
    </row>
    <row r="52" spans="1:18" ht="22.5" customHeight="1">
      <c r="B52" s="7" t="s">
        <v>210</v>
      </c>
      <c r="C52" s="179">
        <f>C34</f>
        <v>10</v>
      </c>
      <c r="D52" s="179" t="s">
        <v>2</v>
      </c>
      <c r="E52" s="179">
        <v>3.14</v>
      </c>
      <c r="F52" s="179" t="s">
        <v>2</v>
      </c>
      <c r="G52" s="182">
        <f>G34</f>
        <v>11</v>
      </c>
      <c r="H52" s="179" t="s">
        <v>2</v>
      </c>
      <c r="I52" s="182">
        <v>1</v>
      </c>
      <c r="J52" s="179" t="s">
        <v>2</v>
      </c>
      <c r="K52" s="182">
        <v>12</v>
      </c>
      <c r="L52" s="179"/>
      <c r="M52" t="s">
        <v>3</v>
      </c>
      <c r="N52" s="29">
        <f>C52*E52*G52*I52*K52</f>
        <v>4144.8</v>
      </c>
      <c r="O52" s="5" t="s">
        <v>18</v>
      </c>
      <c r="P52" s="19"/>
      <c r="Q52" s="181"/>
      <c r="R52" s="5"/>
    </row>
    <row r="53" spans="1:18">
      <c r="B53" s="2"/>
      <c r="C53" s="104"/>
      <c r="D53" s="104"/>
      <c r="E53" s="107"/>
      <c r="F53" s="104"/>
      <c r="G53" s="106"/>
      <c r="H53" s="104"/>
      <c r="I53" s="104"/>
      <c r="J53" s="104"/>
      <c r="K53" s="107"/>
      <c r="L53" s="104"/>
      <c r="M53" s="54"/>
      <c r="N53" s="51">
        <f>SUM(N46:N52)</f>
        <v>32204.93</v>
      </c>
      <c r="O53" s="53"/>
      <c r="P53" s="19"/>
      <c r="Q53" s="105"/>
      <c r="R53" s="5"/>
    </row>
    <row r="54" spans="1:18">
      <c r="B54" s="26">
        <f>N53</f>
        <v>32204.93</v>
      </c>
      <c r="C54" s="112" t="s">
        <v>167</v>
      </c>
      <c r="D54" s="1"/>
      <c r="E54" s="1"/>
      <c r="F54" s="1"/>
      <c r="G54" s="1"/>
      <c r="H54" s="1"/>
      <c r="I54" s="1"/>
      <c r="J54" s="1"/>
      <c r="K54" s="1"/>
      <c r="L54" s="1"/>
      <c r="M54" s="35" t="s">
        <v>17</v>
      </c>
      <c r="N54" s="13">
        <v>337</v>
      </c>
      <c r="O54" s="19" t="s">
        <v>48</v>
      </c>
      <c r="P54" s="9" t="s">
        <v>16</v>
      </c>
      <c r="Q54" s="10">
        <f>B54*N54</f>
        <v>10853061.41</v>
      </c>
    </row>
    <row r="55" spans="1:18" ht="6.75" customHeight="1">
      <c r="C55" s="1"/>
      <c r="D55" s="1"/>
      <c r="E55" s="1"/>
      <c r="F55" s="1"/>
      <c r="G55" s="1"/>
      <c r="H55" s="1"/>
      <c r="I55" s="1"/>
      <c r="J55" s="1"/>
      <c r="K55" s="1"/>
      <c r="L55" s="1"/>
      <c r="N55" s="9"/>
      <c r="O55" s="5"/>
      <c r="P55" s="19"/>
      <c r="Q55" s="9"/>
      <c r="R55" s="5"/>
    </row>
    <row r="56" spans="1:18" ht="15.75">
      <c r="A56" s="267">
        <v>3</v>
      </c>
      <c r="B56" s="7" t="s">
        <v>57</v>
      </c>
      <c r="C56" s="1"/>
      <c r="D56" s="1"/>
      <c r="E56" s="1"/>
      <c r="F56" s="1"/>
      <c r="G56" s="1"/>
      <c r="H56" s="1"/>
      <c r="I56" s="1"/>
      <c r="J56" s="1"/>
      <c r="K56" s="1"/>
      <c r="L56" s="1"/>
      <c r="N56" s="9"/>
      <c r="O56" s="5"/>
      <c r="P56" s="19"/>
      <c r="Q56" s="9"/>
      <c r="R56" s="5"/>
    </row>
    <row r="57" spans="1:18" ht="15.75">
      <c r="B57" s="21" t="s">
        <v>58</v>
      </c>
      <c r="C57" s="1"/>
      <c r="D57" s="1"/>
      <c r="E57" s="1"/>
      <c r="F57" s="1"/>
      <c r="G57" s="1"/>
      <c r="H57" s="1"/>
      <c r="I57" s="1"/>
      <c r="J57" s="1"/>
      <c r="K57" s="1"/>
      <c r="L57" s="1"/>
      <c r="N57" s="9"/>
      <c r="O57" s="5"/>
      <c r="P57" s="19"/>
      <c r="Q57" s="9"/>
      <c r="R57" s="5"/>
    </row>
    <row r="58" spans="1:18" ht="15.75">
      <c r="B58" s="21" t="s">
        <v>121</v>
      </c>
      <c r="C58" s="1"/>
      <c r="D58" s="1"/>
      <c r="E58" s="1"/>
      <c r="F58" s="1"/>
      <c r="G58" s="1"/>
      <c r="H58" s="1"/>
      <c r="I58" s="1"/>
      <c r="J58" s="1"/>
      <c r="K58" s="1"/>
      <c r="L58" s="1"/>
      <c r="N58" s="9"/>
      <c r="O58" s="5"/>
      <c r="P58" s="19"/>
      <c r="Q58" s="9"/>
      <c r="R58" s="5"/>
    </row>
    <row r="59" spans="1:18" ht="15.75">
      <c r="B59" s="21" t="s">
        <v>206</v>
      </c>
      <c r="C59" s="1"/>
      <c r="D59" s="1"/>
      <c r="E59" s="1"/>
      <c r="F59" s="1"/>
      <c r="G59" s="1"/>
      <c r="H59" s="1"/>
      <c r="I59" s="1"/>
      <c r="J59" s="1"/>
      <c r="K59" s="1"/>
      <c r="L59" s="1"/>
      <c r="N59" s="9"/>
      <c r="O59" s="5"/>
      <c r="P59" s="19"/>
      <c r="Q59" s="9"/>
      <c r="R59" s="5"/>
    </row>
    <row r="60" spans="1:18">
      <c r="B60" s="26">
        <v>21389.66</v>
      </c>
      <c r="C60" s="1"/>
      <c r="D60" s="1" t="s">
        <v>2</v>
      </c>
      <c r="E60" s="110">
        <v>4.5</v>
      </c>
      <c r="F60" s="1" t="s">
        <v>31</v>
      </c>
      <c r="G60" s="1">
        <v>112</v>
      </c>
      <c r="H60" s="1"/>
      <c r="I60" s="1"/>
      <c r="J60" s="1"/>
      <c r="K60" s="1"/>
      <c r="L60" s="1"/>
      <c r="M60" t="s">
        <v>3</v>
      </c>
      <c r="N60" s="29">
        <v>859.4</v>
      </c>
      <c r="O60" s="5" t="s">
        <v>59</v>
      </c>
      <c r="P60" s="19"/>
      <c r="Q60" s="9"/>
      <c r="R60" s="5"/>
    </row>
    <row r="61" spans="1:18" ht="21" customHeight="1">
      <c r="B61" s="21" t="s">
        <v>205</v>
      </c>
      <c r="C61" s="1"/>
      <c r="D61" s="1"/>
      <c r="E61" s="1"/>
      <c r="F61" s="1"/>
      <c r="G61" s="1"/>
      <c r="H61" s="1"/>
      <c r="I61" s="1"/>
      <c r="J61" s="1"/>
      <c r="K61" s="1"/>
      <c r="L61" s="1"/>
      <c r="N61" s="9"/>
      <c r="O61" s="5"/>
      <c r="P61" s="19"/>
      <c r="Q61" s="9"/>
      <c r="R61" s="5"/>
    </row>
    <row r="62" spans="1:18" ht="19.5" customHeight="1">
      <c r="B62" s="26">
        <v>2469.13</v>
      </c>
      <c r="C62" s="1"/>
      <c r="D62" s="1" t="s">
        <v>2</v>
      </c>
      <c r="E62" s="122">
        <v>8</v>
      </c>
      <c r="F62" s="1" t="s">
        <v>31</v>
      </c>
      <c r="G62" s="1">
        <v>112</v>
      </c>
      <c r="H62" s="1"/>
      <c r="I62" s="1"/>
      <c r="J62" s="1"/>
      <c r="K62" s="1"/>
      <c r="L62" s="1"/>
      <c r="M62" t="s">
        <v>3</v>
      </c>
      <c r="N62" s="50">
        <f>B62*E62/G62</f>
        <v>176.36642857142857</v>
      </c>
      <c r="O62" s="17" t="s">
        <v>59</v>
      </c>
      <c r="P62" s="19"/>
      <c r="Q62" s="9"/>
      <c r="R62" s="5"/>
    </row>
    <row r="63" spans="1:18">
      <c r="B63" s="26"/>
      <c r="C63" s="1"/>
      <c r="D63" s="1"/>
      <c r="E63" s="1"/>
      <c r="F63" s="1"/>
      <c r="G63" s="1"/>
      <c r="H63" s="1"/>
      <c r="I63" s="1"/>
      <c r="J63" s="1"/>
      <c r="K63" s="1"/>
      <c r="L63" s="1"/>
      <c r="N63" s="51">
        <v>1035.76</v>
      </c>
      <c r="O63" s="53" t="s">
        <v>59</v>
      </c>
      <c r="P63" s="19"/>
      <c r="Q63" s="9"/>
      <c r="R63" s="5"/>
    </row>
    <row r="64" spans="1:18">
      <c r="B64" s="26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N64" s="51"/>
      <c r="O64" s="53"/>
      <c r="P64" s="19"/>
      <c r="Q64" s="105"/>
      <c r="R64" s="5"/>
    </row>
    <row r="65" spans="1:18">
      <c r="B65" s="26">
        <f>N63</f>
        <v>1035.76</v>
      </c>
      <c r="C65" s="33" t="str">
        <f>O60</f>
        <v>Cwt.</v>
      </c>
      <c r="D65" s="1"/>
      <c r="E65" s="1"/>
      <c r="F65" s="1"/>
      <c r="G65" s="1"/>
      <c r="H65" s="1"/>
      <c r="I65" s="1"/>
      <c r="J65" s="1"/>
      <c r="K65" s="1"/>
      <c r="L65" s="1"/>
      <c r="M65" s="9" t="str">
        <f>M54</f>
        <v xml:space="preserve"> @Rs:</v>
      </c>
      <c r="N65" s="13">
        <v>5001.7</v>
      </c>
      <c r="O65" s="19" t="s">
        <v>60</v>
      </c>
      <c r="P65" s="9" t="s">
        <v>16</v>
      </c>
      <c r="Q65" s="10">
        <f>B65*N65</f>
        <v>5180560.7919999994</v>
      </c>
    </row>
    <row r="66" spans="1:18">
      <c r="C66" s="1"/>
      <c r="D66" s="1"/>
      <c r="E66" s="1"/>
      <c r="F66" s="1"/>
      <c r="G66" s="1"/>
      <c r="H66" s="1"/>
      <c r="I66" s="1"/>
      <c r="J66" s="1"/>
      <c r="K66" s="1"/>
      <c r="L66" s="1"/>
      <c r="N66" s="9"/>
      <c r="O66" s="5"/>
      <c r="P66" s="19"/>
      <c r="Q66" s="9"/>
      <c r="R66" s="5"/>
    </row>
    <row r="67" spans="1:18" ht="15.75">
      <c r="A67" s="267">
        <v>4</v>
      </c>
      <c r="B67" s="21" t="s">
        <v>190</v>
      </c>
      <c r="C67" s="1"/>
      <c r="D67" s="1"/>
      <c r="E67" s="1"/>
      <c r="F67" s="1"/>
      <c r="G67" s="1"/>
      <c r="H67" s="1"/>
      <c r="I67" s="1"/>
      <c r="J67" s="1"/>
      <c r="K67" s="1"/>
      <c r="L67" s="1"/>
      <c r="N67" s="9"/>
      <c r="O67" s="5"/>
      <c r="P67" s="19"/>
      <c r="Q67" s="9"/>
      <c r="R67" s="5"/>
    </row>
    <row r="68" spans="1:18" ht="15.75">
      <c r="B68" s="21" t="s">
        <v>61</v>
      </c>
      <c r="C68" s="1"/>
      <c r="D68" s="1"/>
      <c r="E68" s="1"/>
      <c r="F68" s="1"/>
      <c r="G68" s="1"/>
      <c r="H68" s="1"/>
      <c r="I68" s="1"/>
      <c r="J68" s="1"/>
      <c r="K68" s="1"/>
      <c r="L68" s="1"/>
      <c r="N68" s="9"/>
      <c r="O68" s="5"/>
      <c r="P68" s="19"/>
      <c r="Q68" s="9"/>
      <c r="R68" s="5"/>
    </row>
    <row r="69" spans="1:18" ht="15.75">
      <c r="B69" s="21" t="s">
        <v>122</v>
      </c>
      <c r="C69" s="1"/>
      <c r="D69" s="1"/>
      <c r="E69" s="1"/>
      <c r="F69" s="1"/>
      <c r="G69" s="1"/>
      <c r="H69" s="1"/>
      <c r="I69" s="1"/>
      <c r="J69" s="1"/>
      <c r="K69" s="1"/>
      <c r="L69" s="1"/>
      <c r="N69" s="9"/>
      <c r="O69" s="5"/>
      <c r="P69" s="19"/>
      <c r="Q69" s="9"/>
      <c r="R69" s="5"/>
    </row>
    <row r="70" spans="1:18">
      <c r="B70" s="55" t="s">
        <v>207</v>
      </c>
      <c r="C70" s="108"/>
      <c r="D70" s="108"/>
      <c r="E70" s="108"/>
      <c r="F70" s="108"/>
      <c r="G70" s="108"/>
      <c r="H70" s="108"/>
      <c r="I70" s="108"/>
      <c r="J70" s="108"/>
      <c r="K70" s="108"/>
      <c r="L70" s="108"/>
      <c r="N70" s="109"/>
      <c r="O70" s="5"/>
      <c r="P70" s="19"/>
      <c r="Q70" s="109"/>
      <c r="R70" s="5"/>
    </row>
    <row r="71" spans="1:18" ht="15.75">
      <c r="B71" s="7" t="s">
        <v>162</v>
      </c>
      <c r="C71" s="108">
        <f>C7</f>
        <v>4</v>
      </c>
      <c r="D71" s="108" t="s">
        <v>2</v>
      </c>
      <c r="E71" s="108">
        <v>0.78500000000000003</v>
      </c>
      <c r="F71" s="108" t="s">
        <v>2</v>
      </c>
      <c r="G71" s="110">
        <v>32.5</v>
      </c>
      <c r="H71" s="108" t="s">
        <v>2</v>
      </c>
      <c r="I71" s="110">
        <f>G71</f>
        <v>32.5</v>
      </c>
      <c r="J71" s="108" t="s">
        <v>2</v>
      </c>
      <c r="K71" s="122">
        <v>5</v>
      </c>
      <c r="L71" s="108"/>
      <c r="M71" t="s">
        <v>3</v>
      </c>
      <c r="N71" s="29">
        <f>C71*E71*G71*I71*K71</f>
        <v>16583.125</v>
      </c>
      <c r="O71" t="s">
        <v>18</v>
      </c>
      <c r="Q71" s="109"/>
      <c r="R71" s="5"/>
    </row>
    <row r="72" spans="1:18">
      <c r="B72" s="6"/>
      <c r="C72" s="108"/>
      <c r="D72" s="108"/>
      <c r="E72" s="108"/>
      <c r="F72" s="108"/>
      <c r="G72" s="108"/>
      <c r="H72" s="108"/>
      <c r="I72" s="108"/>
      <c r="J72" s="108"/>
      <c r="K72" s="108"/>
      <c r="L72" s="108"/>
      <c r="N72" s="50"/>
      <c r="O72" s="16"/>
      <c r="Q72" s="109"/>
      <c r="R72" s="5"/>
    </row>
    <row r="73" spans="1:18" ht="15.75">
      <c r="B73" s="7" t="s">
        <v>164</v>
      </c>
      <c r="C73" s="108">
        <f>C9</f>
        <v>8</v>
      </c>
      <c r="D73" s="108" t="s">
        <v>2</v>
      </c>
      <c r="E73" s="108">
        <v>0.78500000000000003</v>
      </c>
      <c r="F73" s="108" t="s">
        <v>2</v>
      </c>
      <c r="G73" s="110">
        <v>27.5</v>
      </c>
      <c r="H73" s="108" t="s">
        <v>2</v>
      </c>
      <c r="I73" s="110">
        <f>G73</f>
        <v>27.5</v>
      </c>
      <c r="J73" s="108" t="s">
        <v>2</v>
      </c>
      <c r="K73" s="122">
        <v>5</v>
      </c>
      <c r="L73" s="108"/>
      <c r="M73" t="s">
        <v>3</v>
      </c>
      <c r="N73" s="29">
        <f>C73*E73*G73*I73*K73</f>
        <v>23746.250000000004</v>
      </c>
      <c r="O73" t="s">
        <v>18</v>
      </c>
      <c r="Q73" s="109"/>
      <c r="R73" s="5"/>
    </row>
    <row r="74" spans="1:18" ht="15.75">
      <c r="B74" s="7" t="s">
        <v>165</v>
      </c>
      <c r="C74" s="108">
        <f>C11</f>
        <v>1</v>
      </c>
      <c r="D74" s="108" t="s">
        <v>2</v>
      </c>
      <c r="E74" s="108">
        <v>0.78500000000000003</v>
      </c>
      <c r="F74" s="108" t="s">
        <v>2</v>
      </c>
      <c r="G74" s="110">
        <v>22.5</v>
      </c>
      <c r="H74" s="108" t="s">
        <v>2</v>
      </c>
      <c r="I74" s="110">
        <f>G74</f>
        <v>22.5</v>
      </c>
      <c r="J74" s="108" t="s">
        <v>2</v>
      </c>
      <c r="K74" s="122">
        <v>5</v>
      </c>
      <c r="L74" s="108"/>
      <c r="M74" t="s">
        <v>3</v>
      </c>
      <c r="N74" s="29">
        <f>C74*E74*G74*I74*K74</f>
        <v>1987.0312500000002</v>
      </c>
      <c r="O74" t="s">
        <v>18</v>
      </c>
      <c r="Q74" s="109"/>
      <c r="R74" s="5"/>
    </row>
    <row r="75" spans="1:18" ht="18.75" customHeight="1">
      <c r="B75" s="123" t="s">
        <v>166</v>
      </c>
      <c r="C75" s="108">
        <f>C51</f>
        <v>2</v>
      </c>
      <c r="D75" s="108" t="s">
        <v>2</v>
      </c>
      <c r="E75" s="108">
        <v>0.78500000000000003</v>
      </c>
      <c r="F75" s="108" t="s">
        <v>2</v>
      </c>
      <c r="G75" s="144">
        <v>17.5</v>
      </c>
      <c r="H75" s="108" t="s">
        <v>2</v>
      </c>
      <c r="I75" s="110">
        <f>G75</f>
        <v>17.5</v>
      </c>
      <c r="J75" s="108" t="s">
        <v>2</v>
      </c>
      <c r="K75" s="122">
        <v>5</v>
      </c>
      <c r="L75" s="108"/>
      <c r="M75" t="s">
        <v>3</v>
      </c>
      <c r="N75" s="159">
        <f>C75*E75*G75*I75*K75</f>
        <v>2404.0625</v>
      </c>
      <c r="O75" t="s">
        <v>18</v>
      </c>
      <c r="Q75" s="109"/>
      <c r="R75" s="5"/>
    </row>
    <row r="76" spans="1:18" ht="18.75" customHeight="1">
      <c r="B76" s="123" t="s">
        <v>211</v>
      </c>
      <c r="C76" s="179">
        <f>C52</f>
        <v>10</v>
      </c>
      <c r="D76" s="179" t="s">
        <v>2</v>
      </c>
      <c r="E76" s="179">
        <v>0.78500000000000003</v>
      </c>
      <c r="F76" s="179" t="s">
        <v>2</v>
      </c>
      <c r="G76" s="180">
        <v>12.5</v>
      </c>
      <c r="H76" s="179" t="s">
        <v>2</v>
      </c>
      <c r="I76" s="180">
        <f>G76</f>
        <v>12.5</v>
      </c>
      <c r="J76" s="179" t="s">
        <v>2</v>
      </c>
      <c r="K76" s="182">
        <v>5</v>
      </c>
      <c r="L76" s="179"/>
      <c r="M76" t="s">
        <v>3</v>
      </c>
      <c r="N76" s="120">
        <f>C76*E76*G76*I76*K76</f>
        <v>6132.8125</v>
      </c>
      <c r="O76" t="s">
        <v>18</v>
      </c>
      <c r="Q76" s="181"/>
      <c r="R76" s="5"/>
    </row>
    <row r="77" spans="1:18" ht="18.75" customHeight="1">
      <c r="C77" s="108"/>
      <c r="D77" s="108"/>
      <c r="E77" s="108"/>
      <c r="F77" s="108"/>
      <c r="G77" s="108"/>
      <c r="H77" s="108"/>
      <c r="I77" s="108"/>
      <c r="J77" s="108"/>
      <c r="K77" s="108"/>
      <c r="L77" s="108"/>
      <c r="N77" s="113">
        <f>SUM(N71:N76)</f>
        <v>50853.28125</v>
      </c>
      <c r="O77" s="6" t="s">
        <v>167</v>
      </c>
      <c r="Q77" s="109"/>
      <c r="R77" s="5"/>
    </row>
    <row r="78" spans="1:18">
      <c r="B78" s="26">
        <f>N77</f>
        <v>50853.28125</v>
      </c>
      <c r="C78" s="112" t="s">
        <v>167</v>
      </c>
      <c r="D78" s="1"/>
      <c r="E78" s="1"/>
      <c r="F78" s="1"/>
      <c r="G78" s="1"/>
      <c r="H78" s="1"/>
      <c r="I78" s="1"/>
      <c r="J78" s="1"/>
      <c r="K78" s="1"/>
      <c r="L78" s="1"/>
      <c r="M78" s="9" t="str">
        <f>M65</f>
        <v xml:space="preserve"> @Rs:</v>
      </c>
      <c r="N78" s="13">
        <v>11763.8</v>
      </c>
      <c r="O78" s="19" t="s">
        <v>1</v>
      </c>
      <c r="P78" s="9" t="s">
        <v>16</v>
      </c>
      <c r="Q78" s="10">
        <f>B78*N78/1000</f>
        <v>598227.82996875001</v>
      </c>
    </row>
    <row r="79" spans="1:18">
      <c r="B79" s="55" t="s">
        <v>62</v>
      </c>
      <c r="C79" s="1"/>
      <c r="D79" s="1"/>
      <c r="E79" s="1"/>
      <c r="F79" s="1"/>
      <c r="G79" s="1"/>
      <c r="H79" s="1"/>
      <c r="I79" s="1"/>
      <c r="J79" s="1"/>
      <c r="K79" s="1"/>
      <c r="L79" s="1"/>
      <c r="N79" s="29"/>
      <c r="O79" s="5"/>
      <c r="P79" s="19"/>
      <c r="Q79" s="9"/>
      <c r="R79" s="5"/>
    </row>
    <row r="80" spans="1:18" ht="15.75">
      <c r="B80" s="7" t="s">
        <v>162</v>
      </c>
      <c r="C80" s="108">
        <f>C71</f>
        <v>4</v>
      </c>
      <c r="D80" s="108" t="s">
        <v>2</v>
      </c>
      <c r="E80" s="108">
        <v>0.78500000000000003</v>
      </c>
      <c r="F80" s="108" t="s">
        <v>2</v>
      </c>
      <c r="G80" s="110">
        <v>32.5</v>
      </c>
      <c r="H80" s="108" t="s">
        <v>2</v>
      </c>
      <c r="I80" s="110">
        <f>G80</f>
        <v>32.5</v>
      </c>
      <c r="J80" s="108" t="s">
        <v>2</v>
      </c>
      <c r="K80" s="122">
        <v>5</v>
      </c>
      <c r="L80" s="108"/>
      <c r="M80" t="s">
        <v>3</v>
      </c>
      <c r="N80" s="29">
        <f>C80*E80*G80*I80*K80</f>
        <v>16583.125</v>
      </c>
      <c r="O80" t="s">
        <v>18</v>
      </c>
      <c r="Q80" s="109"/>
      <c r="R80" s="5"/>
    </row>
    <row r="81" spans="1:18" ht="15.75">
      <c r="B81" s="7" t="s">
        <v>164</v>
      </c>
      <c r="C81" s="108">
        <f>C9</f>
        <v>8</v>
      </c>
      <c r="D81" s="108" t="s">
        <v>2</v>
      </c>
      <c r="E81" s="108">
        <v>0.78500000000000003</v>
      </c>
      <c r="F81" s="108" t="s">
        <v>2</v>
      </c>
      <c r="G81" s="110">
        <v>27.5</v>
      </c>
      <c r="H81" s="108" t="s">
        <v>2</v>
      </c>
      <c r="I81" s="110">
        <f>G81</f>
        <v>27.5</v>
      </c>
      <c r="J81" s="108" t="s">
        <v>2</v>
      </c>
      <c r="K81" s="122">
        <v>5</v>
      </c>
      <c r="L81" s="108"/>
      <c r="M81" t="s">
        <v>3</v>
      </c>
      <c r="N81" s="29">
        <f>C81*E81*G81*I81*K81</f>
        <v>23746.250000000004</v>
      </c>
      <c r="O81" t="s">
        <v>18</v>
      </c>
      <c r="Q81" s="109"/>
      <c r="R81" s="5"/>
    </row>
    <row r="82" spans="1:18" ht="15.75">
      <c r="B82" s="7" t="s">
        <v>165</v>
      </c>
      <c r="C82" s="108">
        <f>C74</f>
        <v>1</v>
      </c>
      <c r="D82" s="108" t="s">
        <v>2</v>
      </c>
      <c r="E82" s="108">
        <v>0.78500000000000003</v>
      </c>
      <c r="F82" s="108" t="s">
        <v>2</v>
      </c>
      <c r="G82" s="110">
        <v>22.5</v>
      </c>
      <c r="H82" s="108" t="s">
        <v>2</v>
      </c>
      <c r="I82" s="110">
        <f>G82</f>
        <v>22.5</v>
      </c>
      <c r="J82" s="108" t="s">
        <v>2</v>
      </c>
      <c r="K82" s="122">
        <v>5</v>
      </c>
      <c r="L82" s="108"/>
      <c r="M82" t="s">
        <v>3</v>
      </c>
      <c r="N82" s="29">
        <f>C82*E82*G82*I82*K82</f>
        <v>1987.0312500000002</v>
      </c>
      <c r="O82" t="s">
        <v>18</v>
      </c>
      <c r="Q82" s="109"/>
      <c r="R82" s="5"/>
    </row>
    <row r="83" spans="1:18" ht="6.75" customHeight="1">
      <c r="B83" s="6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N83" s="50"/>
      <c r="O83" s="16"/>
      <c r="Q83" s="109"/>
      <c r="R83" s="5"/>
    </row>
    <row r="84" spans="1:18" ht="14.25">
      <c r="B84" s="123" t="s">
        <v>166</v>
      </c>
      <c r="C84" s="108">
        <f>C75</f>
        <v>2</v>
      </c>
      <c r="D84" s="108" t="s">
        <v>2</v>
      </c>
      <c r="E84" s="108">
        <v>0.78500000000000003</v>
      </c>
      <c r="F84" s="108" t="s">
        <v>2</v>
      </c>
      <c r="G84" s="110">
        <v>17.5</v>
      </c>
      <c r="H84" s="108" t="s">
        <v>2</v>
      </c>
      <c r="I84" s="110">
        <f>G84</f>
        <v>17.5</v>
      </c>
      <c r="J84" s="108" t="s">
        <v>2</v>
      </c>
      <c r="K84" s="122">
        <v>5</v>
      </c>
      <c r="L84" s="108"/>
      <c r="M84" t="s">
        <v>3</v>
      </c>
      <c r="N84" s="159">
        <f>C84*E84*G84*I84*K84</f>
        <v>2404.0625</v>
      </c>
      <c r="O84" t="s">
        <v>18</v>
      </c>
      <c r="Q84" s="109"/>
      <c r="R84" s="5"/>
    </row>
    <row r="85" spans="1:18" ht="18" customHeight="1">
      <c r="B85" s="123" t="s">
        <v>211</v>
      </c>
      <c r="C85" s="179">
        <f>C76</f>
        <v>10</v>
      </c>
      <c r="D85" s="179" t="s">
        <v>2</v>
      </c>
      <c r="E85" s="179">
        <v>0.78500000000000003</v>
      </c>
      <c r="F85" s="179" t="s">
        <v>2</v>
      </c>
      <c r="G85" s="180">
        <v>12.5</v>
      </c>
      <c r="H85" s="179" t="s">
        <v>2</v>
      </c>
      <c r="I85" s="180">
        <f>G85</f>
        <v>12.5</v>
      </c>
      <c r="J85" s="179" t="s">
        <v>2</v>
      </c>
      <c r="K85" s="182">
        <v>2</v>
      </c>
      <c r="L85" s="179"/>
      <c r="M85" t="s">
        <v>3</v>
      </c>
      <c r="N85" s="120">
        <f>C85*E85*G85*I85*K85</f>
        <v>2453.125</v>
      </c>
      <c r="O85" t="s">
        <v>18</v>
      </c>
      <c r="Q85" s="181"/>
      <c r="R85" s="5"/>
    </row>
    <row r="86" spans="1:18"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N86" s="113">
        <v>36698.730000000003</v>
      </c>
      <c r="O86" s="6" t="s">
        <v>167</v>
      </c>
      <c r="Q86" s="109"/>
      <c r="R86" s="5"/>
    </row>
    <row r="87" spans="1:18">
      <c r="A87" s="268"/>
      <c r="B87" s="26">
        <f>N86</f>
        <v>36698.730000000003</v>
      </c>
      <c r="C87" s="231" t="str">
        <f>O86</f>
        <v>cft</v>
      </c>
      <c r="D87" s="231"/>
      <c r="E87" s="231"/>
      <c r="F87" s="231"/>
      <c r="G87" s="231"/>
      <c r="H87" s="231"/>
      <c r="I87" s="231"/>
      <c r="J87" s="231"/>
      <c r="K87" s="231"/>
      <c r="L87" s="231"/>
      <c r="M87" s="232" t="s">
        <v>17</v>
      </c>
      <c r="N87" s="25">
        <v>24200</v>
      </c>
      <c r="O87" s="225" t="s">
        <v>1</v>
      </c>
      <c r="P87" s="232" t="s">
        <v>16</v>
      </c>
      <c r="Q87" s="28">
        <f>B87*N87/1000</f>
        <v>888109.26600000006</v>
      </c>
    </row>
    <row r="88" spans="1:18">
      <c r="B88" s="49" t="s">
        <v>63</v>
      </c>
      <c r="C88" s="108"/>
      <c r="D88" s="108"/>
      <c r="E88" s="108"/>
      <c r="F88" s="108"/>
      <c r="G88" s="108"/>
      <c r="H88" s="108"/>
      <c r="I88" s="108"/>
      <c r="J88" s="108"/>
      <c r="K88" s="108"/>
      <c r="L88" s="108"/>
      <c r="N88" s="50"/>
      <c r="O88" s="17"/>
      <c r="P88" s="19"/>
      <c r="Q88" s="109"/>
      <c r="R88" s="5"/>
    </row>
    <row r="89" spans="1:18" ht="15.75">
      <c r="B89" s="7" t="s">
        <v>162</v>
      </c>
      <c r="C89" s="108">
        <f>C80</f>
        <v>4</v>
      </c>
      <c r="D89" s="108" t="s">
        <v>2</v>
      </c>
      <c r="E89" s="108">
        <v>0.78500000000000003</v>
      </c>
      <c r="F89" s="108" t="s">
        <v>2</v>
      </c>
      <c r="G89" s="110">
        <v>32.5</v>
      </c>
      <c r="H89" s="108" t="s">
        <v>2</v>
      </c>
      <c r="I89" s="110">
        <f>G89</f>
        <v>32.5</v>
      </c>
      <c r="J89" s="108" t="s">
        <v>2</v>
      </c>
      <c r="K89" s="122">
        <v>5</v>
      </c>
      <c r="L89" s="108"/>
      <c r="M89" t="s">
        <v>3</v>
      </c>
      <c r="N89" s="29">
        <f>C89*E89*G89*I89*K89</f>
        <v>16583.125</v>
      </c>
      <c r="O89" t="s">
        <v>18</v>
      </c>
      <c r="P89" s="19"/>
      <c r="Q89" s="109"/>
      <c r="R89" s="5"/>
    </row>
    <row r="90" spans="1:18" ht="15.75">
      <c r="B90" s="7" t="s">
        <v>164</v>
      </c>
      <c r="C90" s="108">
        <f>C9</f>
        <v>8</v>
      </c>
      <c r="D90" s="108" t="s">
        <v>2</v>
      </c>
      <c r="E90" s="108">
        <v>0.78500000000000003</v>
      </c>
      <c r="F90" s="108" t="s">
        <v>2</v>
      </c>
      <c r="G90" s="110">
        <v>27.5</v>
      </c>
      <c r="H90" s="108" t="s">
        <v>2</v>
      </c>
      <c r="I90" s="110">
        <f>G90</f>
        <v>27.5</v>
      </c>
      <c r="J90" s="108" t="s">
        <v>2</v>
      </c>
      <c r="K90" s="122">
        <v>5</v>
      </c>
      <c r="L90" s="108"/>
      <c r="M90" t="s">
        <v>3</v>
      </c>
      <c r="N90" s="29">
        <f>C90*E90*G90*I90*K90</f>
        <v>23746.250000000004</v>
      </c>
      <c r="O90" t="s">
        <v>18</v>
      </c>
      <c r="P90" s="19"/>
      <c r="Q90" s="109"/>
      <c r="R90" s="5"/>
    </row>
    <row r="91" spans="1:18" ht="15.75">
      <c r="B91" s="7" t="s">
        <v>165</v>
      </c>
      <c r="C91" s="108">
        <f>C11</f>
        <v>1</v>
      </c>
      <c r="D91" s="108" t="s">
        <v>2</v>
      </c>
      <c r="E91" s="108">
        <v>0.78500000000000003</v>
      </c>
      <c r="F91" s="108" t="s">
        <v>2</v>
      </c>
      <c r="G91" s="110">
        <v>22.5</v>
      </c>
      <c r="H91" s="108" t="s">
        <v>2</v>
      </c>
      <c r="I91" s="110">
        <f>G91</f>
        <v>22.5</v>
      </c>
      <c r="J91" s="108" t="s">
        <v>2</v>
      </c>
      <c r="K91" s="122">
        <v>5</v>
      </c>
      <c r="L91" s="108"/>
      <c r="M91" t="s">
        <v>3</v>
      </c>
      <c r="N91" s="29">
        <f>C91*E91*G91*I91*K91</f>
        <v>1987.0312500000002</v>
      </c>
      <c r="O91" t="s">
        <v>18</v>
      </c>
      <c r="P91" s="19"/>
      <c r="Q91" s="109"/>
      <c r="R91" s="5"/>
    </row>
    <row r="92" spans="1:18" ht="3.75" customHeight="1">
      <c r="B92" s="6"/>
      <c r="C92" s="108"/>
      <c r="D92" s="108"/>
      <c r="E92" s="108"/>
      <c r="F92" s="108"/>
      <c r="G92" s="108"/>
      <c r="H92" s="108"/>
      <c r="I92" s="108"/>
      <c r="J92" s="108"/>
      <c r="K92" s="108"/>
      <c r="L92" s="108"/>
      <c r="N92" s="50"/>
      <c r="O92" s="16"/>
      <c r="P92" s="19"/>
      <c r="Q92" s="109"/>
      <c r="R92" s="5"/>
    </row>
    <row r="93" spans="1:18" ht="14.25">
      <c r="B93" s="123" t="s">
        <v>166</v>
      </c>
      <c r="C93" s="108">
        <f>C13</f>
        <v>2</v>
      </c>
      <c r="D93" s="108" t="s">
        <v>2</v>
      </c>
      <c r="E93" s="108">
        <v>0.78500000000000003</v>
      </c>
      <c r="F93" s="108" t="s">
        <v>2</v>
      </c>
      <c r="G93" s="144">
        <v>17.5</v>
      </c>
      <c r="H93" s="108" t="s">
        <v>2</v>
      </c>
      <c r="I93" s="110">
        <f>G93</f>
        <v>17.5</v>
      </c>
      <c r="J93" s="108" t="s">
        <v>2</v>
      </c>
      <c r="K93" s="122">
        <v>5</v>
      </c>
      <c r="L93" s="108"/>
      <c r="M93" t="s">
        <v>3</v>
      </c>
      <c r="N93" s="120">
        <f>C93*E93*G93*I93*K93</f>
        <v>2404.0625</v>
      </c>
      <c r="O93" t="s">
        <v>18</v>
      </c>
      <c r="P93" s="19"/>
      <c r="Q93" s="109"/>
      <c r="R93" s="5"/>
    </row>
    <row r="94" spans="1:18"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N94" s="113">
        <v>36453.42</v>
      </c>
      <c r="O94" s="6" t="s">
        <v>167</v>
      </c>
      <c r="P94" s="19"/>
      <c r="Q94" s="109"/>
      <c r="R94" s="5"/>
    </row>
    <row r="95" spans="1:18" ht="9" customHeight="1"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N95" s="50"/>
      <c r="O95" s="17"/>
      <c r="P95" s="19"/>
      <c r="Q95" s="109"/>
      <c r="R95" s="5"/>
    </row>
    <row r="96" spans="1:18">
      <c r="B96" s="26">
        <f>N94</f>
        <v>36453.42</v>
      </c>
      <c r="C96" s="112" t="s">
        <v>167</v>
      </c>
      <c r="D96" s="108"/>
      <c r="E96" s="108"/>
      <c r="F96" s="108"/>
      <c r="G96" s="108"/>
      <c r="H96" s="108"/>
      <c r="I96" s="108"/>
      <c r="J96" s="108"/>
      <c r="K96" s="108"/>
      <c r="L96" s="124" t="s">
        <v>178</v>
      </c>
      <c r="M96" s="114" t="s">
        <v>5</v>
      </c>
      <c r="N96" s="5">
        <v>37230.769999999997</v>
      </c>
      <c r="O96" s="19" t="s">
        <v>1</v>
      </c>
      <c r="P96" s="109" t="s">
        <v>16</v>
      </c>
      <c r="Q96" s="10">
        <f>B96*N96/1000</f>
        <v>1357188.8957333998</v>
      </c>
      <c r="R96" s="5"/>
    </row>
    <row r="97" spans="1:18" hidden="1">
      <c r="C97" s="1"/>
      <c r="D97" s="1"/>
      <c r="E97" s="1"/>
      <c r="F97" s="1"/>
      <c r="G97" s="1"/>
      <c r="H97" s="1"/>
      <c r="I97" s="1"/>
      <c r="J97" s="1"/>
      <c r="K97" s="1"/>
      <c r="L97" s="1"/>
      <c r="N97" s="9"/>
      <c r="O97" s="5"/>
      <c r="P97" s="19"/>
      <c r="Q97" s="9"/>
      <c r="R97" s="5"/>
    </row>
    <row r="98" spans="1:18" hidden="1">
      <c r="B98" s="49" t="s">
        <v>64</v>
      </c>
      <c r="C98" s="1" t="e">
        <f>#REF!</f>
        <v>#REF!</v>
      </c>
      <c r="D98" s="1" t="s">
        <v>2</v>
      </c>
      <c r="E98" s="1" t="e">
        <f>#REF!</f>
        <v>#REF!</v>
      </c>
      <c r="F98" s="1" t="s">
        <v>2</v>
      </c>
      <c r="G98" s="1" t="e">
        <f>#REF!</f>
        <v>#REF!</v>
      </c>
      <c r="H98" s="1" t="s">
        <v>2</v>
      </c>
      <c r="I98" s="1" t="e">
        <f>#REF!</f>
        <v>#REF!</v>
      </c>
      <c r="J98" s="1" t="s">
        <v>2</v>
      </c>
      <c r="K98" s="1"/>
      <c r="L98" s="1"/>
      <c r="M98" t="e">
        <f>#REF!</f>
        <v>#REF!</v>
      </c>
      <c r="N98" s="29" t="e">
        <f>C98*E98*G98*I98*K98</f>
        <v>#REF!</v>
      </c>
      <c r="O98" s="5" t="s">
        <v>18</v>
      </c>
      <c r="P98" s="19"/>
      <c r="Q98" s="9"/>
      <c r="R98" s="5"/>
    </row>
    <row r="99" spans="1:18" hidden="1">
      <c r="C99" s="1">
        <v>0</v>
      </c>
      <c r="D99" s="1" t="s">
        <v>2</v>
      </c>
      <c r="E99" s="1">
        <f>E80</f>
        <v>0.78500000000000003</v>
      </c>
      <c r="F99" s="1" t="s">
        <v>2</v>
      </c>
      <c r="G99" s="1">
        <f>G80</f>
        <v>32.5</v>
      </c>
      <c r="H99" s="1" t="s">
        <v>2</v>
      </c>
      <c r="I99" s="1">
        <f>I80</f>
        <v>32.5</v>
      </c>
      <c r="J99" s="1" t="s">
        <v>2</v>
      </c>
      <c r="K99" s="1"/>
      <c r="L99" s="1"/>
      <c r="M99" t="s">
        <v>3</v>
      </c>
      <c r="N99" s="52">
        <f>C99*E99*G99*I99*K99</f>
        <v>0</v>
      </c>
      <c r="O99" s="17" t="s">
        <v>18</v>
      </c>
      <c r="P99" s="19"/>
      <c r="Q99" s="9"/>
      <c r="R99" s="5"/>
    </row>
    <row r="100" spans="1:18" hidden="1">
      <c r="C100" s="1"/>
      <c r="D100" s="1"/>
      <c r="E100" s="1"/>
      <c r="F100" s="1"/>
      <c r="G100" s="1"/>
      <c r="H100" s="1"/>
      <c r="I100" s="1"/>
      <c r="J100" s="1"/>
      <c r="K100" s="1"/>
      <c r="L100" s="1"/>
      <c r="N100" s="57" t="e">
        <f>SUM(N98:N99)</f>
        <v>#REF!</v>
      </c>
      <c r="O100" s="58" t="s">
        <v>18</v>
      </c>
      <c r="P100" s="19"/>
      <c r="Q100" s="9"/>
      <c r="R100" s="5"/>
    </row>
    <row r="101" spans="1:18" hidden="1">
      <c r="B101" s="26" t="e">
        <f>N98</f>
        <v>#REF!</v>
      </c>
      <c r="C101" s="1" t="str">
        <f>O98</f>
        <v>Cft.</v>
      </c>
      <c r="D101" s="1"/>
      <c r="E101" s="1"/>
      <c r="F101" s="1"/>
      <c r="G101" s="1"/>
      <c r="H101" s="1"/>
      <c r="I101" s="1"/>
      <c r="J101" s="1"/>
      <c r="K101" s="1"/>
      <c r="L101" s="1"/>
      <c r="M101" s="9" t="e">
        <f>#REF!</f>
        <v>#REF!</v>
      </c>
      <c r="N101" s="13">
        <v>50416.67</v>
      </c>
      <c r="O101" s="19" t="s">
        <v>1</v>
      </c>
      <c r="P101" s="9" t="s">
        <v>16</v>
      </c>
      <c r="Q101" s="10" t="e">
        <f>B101*N101/1000</f>
        <v>#REF!</v>
      </c>
    </row>
    <row r="102" spans="1:18" hidden="1">
      <c r="C102" s="1"/>
      <c r="D102" s="1"/>
      <c r="E102" s="1"/>
      <c r="F102" s="1"/>
      <c r="G102" s="1"/>
      <c r="H102" s="1"/>
      <c r="I102" s="1"/>
      <c r="J102" s="1"/>
      <c r="K102" s="1"/>
      <c r="L102" s="1"/>
      <c r="N102" s="9"/>
      <c r="O102" s="5"/>
      <c r="P102" s="19"/>
      <c r="Q102" s="9"/>
      <c r="R102" s="10" t="s">
        <v>15</v>
      </c>
    </row>
    <row r="103" spans="1:18" hidden="1">
      <c r="B103" s="49" t="s">
        <v>65</v>
      </c>
      <c r="C103" s="1">
        <v>0</v>
      </c>
      <c r="D103" s="1" t="s">
        <v>2</v>
      </c>
      <c r="E103" s="1" t="e">
        <f>E98</f>
        <v>#REF!</v>
      </c>
      <c r="F103" s="1" t="s">
        <v>2</v>
      </c>
      <c r="G103" s="1" t="e">
        <f>G98</f>
        <v>#REF!</v>
      </c>
      <c r="H103" s="1" t="s">
        <v>2</v>
      </c>
      <c r="I103" s="1" t="e">
        <f>I98</f>
        <v>#REF!</v>
      </c>
      <c r="J103" s="1" t="s">
        <v>2</v>
      </c>
      <c r="K103" s="1"/>
      <c r="L103" s="1"/>
      <c r="M103" t="str">
        <f>M99</f>
        <v xml:space="preserve"> =</v>
      </c>
      <c r="N103" s="29" t="e">
        <f>C103*E103*G103*I103*K103</f>
        <v>#REF!</v>
      </c>
      <c r="O103" s="5" t="s">
        <v>18</v>
      </c>
      <c r="P103" s="19"/>
      <c r="Q103" s="9"/>
      <c r="R103" s="5"/>
    </row>
    <row r="104" spans="1:18" hidden="1">
      <c r="C104" s="1">
        <v>0</v>
      </c>
      <c r="D104" s="1" t="s">
        <v>2</v>
      </c>
      <c r="E104" s="1" t="e">
        <f>#REF!</f>
        <v>#REF!</v>
      </c>
      <c r="F104" s="1" t="s">
        <v>2</v>
      </c>
      <c r="G104" s="1" t="e">
        <f>#REF!</f>
        <v>#REF!</v>
      </c>
      <c r="H104" s="1" t="s">
        <v>2</v>
      </c>
      <c r="I104" s="1" t="e">
        <f>#REF!</f>
        <v>#REF!</v>
      </c>
      <c r="J104" s="1" t="s">
        <v>2</v>
      </c>
      <c r="K104" s="1"/>
      <c r="L104" s="1"/>
      <c r="M104" t="s">
        <v>3</v>
      </c>
      <c r="N104" s="52" t="e">
        <f>C104*E104*G104*I104*K104</f>
        <v>#REF!</v>
      </c>
      <c r="O104" s="17" t="s">
        <v>18</v>
      </c>
      <c r="P104" s="19"/>
      <c r="Q104" s="9"/>
      <c r="R104" s="5"/>
    </row>
    <row r="105" spans="1:18" hidden="1">
      <c r="C105" s="1"/>
      <c r="D105" s="1"/>
      <c r="E105" s="1"/>
      <c r="F105" s="1"/>
      <c r="G105" s="1"/>
      <c r="H105" s="1"/>
      <c r="I105" s="1"/>
      <c r="J105" s="1"/>
      <c r="K105" s="1"/>
      <c r="L105" s="1"/>
      <c r="N105" s="57" t="e">
        <f>SUM(N103:N104)</f>
        <v>#REF!</v>
      </c>
      <c r="O105" s="58" t="s">
        <v>18</v>
      </c>
      <c r="P105" s="19"/>
      <c r="Q105" s="9"/>
      <c r="R105" s="5"/>
    </row>
    <row r="106" spans="1:18" hidden="1">
      <c r="B106" s="26" t="e">
        <f>N103</f>
        <v>#REF!</v>
      </c>
      <c r="C106" s="1" t="str">
        <f>O103</f>
        <v>Cft.</v>
      </c>
      <c r="D106" s="1"/>
      <c r="E106" s="1"/>
      <c r="F106" s="1"/>
      <c r="G106" s="1"/>
      <c r="H106" s="1"/>
      <c r="I106" s="1"/>
      <c r="J106" s="1"/>
      <c r="K106" s="1"/>
      <c r="L106" s="1"/>
      <c r="M106" s="9" t="e">
        <f>M101</f>
        <v>#REF!</v>
      </c>
      <c r="N106" s="13">
        <v>27846.58</v>
      </c>
      <c r="O106" s="19" t="s">
        <v>1</v>
      </c>
      <c r="P106" s="9" t="s">
        <v>16</v>
      </c>
      <c r="Q106" s="10" t="e">
        <f>B106*N106/1000</f>
        <v>#REF!</v>
      </c>
    </row>
    <row r="107" spans="1:18" ht="15.75">
      <c r="A107" s="267">
        <v>5</v>
      </c>
      <c r="B107" s="59" t="s">
        <v>66</v>
      </c>
      <c r="C107" s="1"/>
      <c r="D107" s="1"/>
      <c r="E107" s="1"/>
      <c r="F107" s="1"/>
      <c r="G107" s="1"/>
      <c r="H107" s="1"/>
      <c r="I107" s="1"/>
      <c r="J107" s="1"/>
      <c r="K107" s="1"/>
      <c r="L107" s="1"/>
      <c r="N107" s="9"/>
      <c r="O107" s="5"/>
      <c r="P107" s="19"/>
      <c r="Q107" s="9"/>
      <c r="R107" s="10"/>
    </row>
    <row r="108" spans="1:18" ht="15.75">
      <c r="B108" s="21" t="s">
        <v>123</v>
      </c>
      <c r="C108" s="1"/>
      <c r="D108" s="1"/>
      <c r="E108" s="1"/>
      <c r="F108" s="1"/>
      <c r="G108" s="1"/>
      <c r="H108" s="1"/>
      <c r="I108" s="1"/>
      <c r="J108" s="1"/>
      <c r="K108" s="1"/>
      <c r="L108" s="1"/>
      <c r="N108" s="9"/>
      <c r="O108" s="5"/>
      <c r="P108" s="19"/>
      <c r="Q108" s="9"/>
      <c r="R108" s="10"/>
    </row>
    <row r="109" spans="1:18" ht="15.75">
      <c r="B109" s="7" t="s">
        <v>162</v>
      </c>
      <c r="C109" s="108">
        <f>C89</f>
        <v>4</v>
      </c>
      <c r="D109" s="108" t="s">
        <v>2</v>
      </c>
      <c r="E109" s="108">
        <v>0.78500000000000003</v>
      </c>
      <c r="F109" s="108" t="s">
        <v>2</v>
      </c>
      <c r="G109" s="155">
        <v>29.5</v>
      </c>
      <c r="H109" s="122" t="s">
        <v>2</v>
      </c>
      <c r="I109" s="155">
        <f>G109</f>
        <v>29.5</v>
      </c>
      <c r="J109" s="122" t="s">
        <v>2</v>
      </c>
      <c r="K109" s="144">
        <v>2</v>
      </c>
      <c r="L109" s="108"/>
      <c r="M109" t="s">
        <v>3</v>
      </c>
      <c r="N109" s="29">
        <f>C109*E109*G109*I109*K109</f>
        <v>5465.170000000001</v>
      </c>
      <c r="O109" t="s">
        <v>18</v>
      </c>
      <c r="P109" s="19"/>
      <c r="Q109" s="9"/>
      <c r="R109" s="10"/>
    </row>
    <row r="110" spans="1:18" s="43" customFormat="1" ht="17.25" customHeight="1">
      <c r="A110" s="169"/>
      <c r="B110" s="218" t="s">
        <v>214</v>
      </c>
      <c r="C110" s="168" t="s">
        <v>191</v>
      </c>
      <c r="D110" s="169" t="s">
        <v>2</v>
      </c>
      <c r="E110" s="168">
        <v>3.14</v>
      </c>
      <c r="F110" s="169" t="s">
        <v>2</v>
      </c>
      <c r="G110" s="170">
        <v>30.67</v>
      </c>
      <c r="H110" s="171" t="s">
        <v>2</v>
      </c>
      <c r="I110" s="170">
        <v>1.17</v>
      </c>
      <c r="J110" s="171" t="s">
        <v>2</v>
      </c>
      <c r="K110" s="170">
        <v>1.25</v>
      </c>
      <c r="L110" s="169"/>
      <c r="M110" s="43" t="s">
        <v>3</v>
      </c>
      <c r="N110" s="172">
        <f>0.5*E110*G110*I110*K110*2</f>
        <v>140.84430750000001</v>
      </c>
      <c r="O110" s="43" t="s">
        <v>18</v>
      </c>
      <c r="Q110" s="173"/>
      <c r="R110" s="44"/>
    </row>
    <row r="111" spans="1:18" ht="15.75">
      <c r="B111" s="7" t="s">
        <v>164</v>
      </c>
      <c r="C111" s="179">
        <f>C90</f>
        <v>8</v>
      </c>
      <c r="D111" s="179" t="s">
        <v>2</v>
      </c>
      <c r="E111" s="179">
        <v>0.78500000000000003</v>
      </c>
      <c r="F111" s="179" t="s">
        <v>2</v>
      </c>
      <c r="G111" s="180">
        <v>24.5</v>
      </c>
      <c r="H111" s="182" t="s">
        <v>2</v>
      </c>
      <c r="I111" s="180">
        <f>G111</f>
        <v>24.5</v>
      </c>
      <c r="J111" s="182" t="s">
        <v>2</v>
      </c>
      <c r="K111" s="180">
        <v>2</v>
      </c>
      <c r="L111" s="179"/>
      <c r="M111" t="s">
        <v>3</v>
      </c>
      <c r="N111" s="29">
        <f>C111*E111*G111*I111*K111</f>
        <v>7539.14</v>
      </c>
      <c r="O111" t="s">
        <v>18</v>
      </c>
      <c r="P111" s="19"/>
      <c r="Q111" s="9"/>
      <c r="R111" s="10"/>
    </row>
    <row r="112" spans="1:18" ht="15.75">
      <c r="B112" s="70" t="s">
        <v>217</v>
      </c>
      <c r="C112" s="168" t="s">
        <v>191</v>
      </c>
      <c r="D112" s="169" t="s">
        <v>2</v>
      </c>
      <c r="E112" s="168">
        <v>3.14</v>
      </c>
      <c r="F112" s="169" t="s">
        <v>2</v>
      </c>
      <c r="G112" s="170">
        <v>25.5</v>
      </c>
      <c r="H112" s="171" t="s">
        <v>2</v>
      </c>
      <c r="I112" s="170">
        <v>1.17</v>
      </c>
      <c r="J112" s="171" t="s">
        <v>2</v>
      </c>
      <c r="K112" s="170">
        <v>1.25</v>
      </c>
      <c r="L112" s="169"/>
      <c r="M112" s="43" t="s">
        <v>3</v>
      </c>
      <c r="N112" s="172">
        <v>354.64</v>
      </c>
      <c r="O112" s="43" t="s">
        <v>18</v>
      </c>
      <c r="P112" s="19"/>
      <c r="Q112" s="109"/>
      <c r="R112" s="10"/>
    </row>
    <row r="113" spans="1:18" ht="8.25" customHeight="1">
      <c r="B113" s="6"/>
      <c r="C113" s="108"/>
      <c r="D113" s="108"/>
      <c r="E113" s="108"/>
      <c r="F113" s="108"/>
      <c r="G113" s="122"/>
      <c r="H113" s="122"/>
      <c r="I113" s="122"/>
      <c r="J113" s="122"/>
      <c r="K113" s="144"/>
      <c r="L113" s="108"/>
      <c r="N113" s="50"/>
      <c r="O113" s="16"/>
      <c r="P113" s="19"/>
      <c r="Q113" s="9"/>
      <c r="R113" s="10"/>
    </row>
    <row r="114" spans="1:18" ht="15.75">
      <c r="B114" s="7" t="s">
        <v>165</v>
      </c>
      <c r="C114" s="108">
        <f>C91</f>
        <v>1</v>
      </c>
      <c r="D114" s="108" t="s">
        <v>2</v>
      </c>
      <c r="E114" s="108">
        <v>0.78500000000000003</v>
      </c>
      <c r="F114" s="108" t="s">
        <v>2</v>
      </c>
      <c r="G114" s="122">
        <v>19.5</v>
      </c>
      <c r="H114" s="122" t="s">
        <v>2</v>
      </c>
      <c r="I114" s="180">
        <f>G114</f>
        <v>19.5</v>
      </c>
      <c r="J114" s="122" t="s">
        <v>2</v>
      </c>
      <c r="K114" s="144">
        <v>2</v>
      </c>
      <c r="L114" s="108"/>
      <c r="M114" t="s">
        <v>3</v>
      </c>
      <c r="N114" s="29">
        <f>C114*E114*G114*I114*K114</f>
        <v>596.99250000000006</v>
      </c>
      <c r="O114" t="s">
        <v>18</v>
      </c>
      <c r="P114" s="19"/>
      <c r="Q114" s="109"/>
      <c r="R114" s="10"/>
    </row>
    <row r="115" spans="1:18" ht="15.75">
      <c r="B115" s="70" t="s">
        <v>216</v>
      </c>
      <c r="C115" s="168" t="s">
        <v>191</v>
      </c>
      <c r="D115" s="169" t="s">
        <v>2</v>
      </c>
      <c r="E115" s="168">
        <v>3.14</v>
      </c>
      <c r="F115" s="169" t="s">
        <v>2</v>
      </c>
      <c r="G115" s="170">
        <v>20.5</v>
      </c>
      <c r="H115" s="171" t="s">
        <v>2</v>
      </c>
      <c r="I115" s="170">
        <v>1.17</v>
      </c>
      <c r="J115" s="171" t="s">
        <v>2</v>
      </c>
      <c r="K115" s="170">
        <v>1.25</v>
      </c>
      <c r="L115" s="169"/>
      <c r="M115" s="43" t="s">
        <v>3</v>
      </c>
      <c r="N115" s="172">
        <v>189.84</v>
      </c>
      <c r="O115" s="43" t="s">
        <v>18</v>
      </c>
      <c r="P115" s="19"/>
      <c r="Q115" s="109"/>
      <c r="R115" s="10"/>
    </row>
    <row r="116" spans="1:18">
      <c r="B116" s="6"/>
      <c r="C116" s="108"/>
      <c r="D116" s="108"/>
      <c r="E116" s="108"/>
      <c r="F116" s="108"/>
      <c r="G116" s="122"/>
      <c r="H116" s="122"/>
      <c r="I116" s="122"/>
      <c r="J116" s="122"/>
      <c r="K116" s="144"/>
      <c r="L116" s="108"/>
      <c r="N116" s="29"/>
      <c r="P116" s="19"/>
      <c r="Q116" s="109"/>
      <c r="R116" s="10"/>
    </row>
    <row r="117" spans="1:18" ht="14.25">
      <c r="B117" s="123" t="s">
        <v>166</v>
      </c>
      <c r="C117" s="108">
        <f>C13</f>
        <v>2</v>
      </c>
      <c r="D117" s="108" t="s">
        <v>2</v>
      </c>
      <c r="E117" s="108">
        <v>0.78500000000000003</v>
      </c>
      <c r="F117" s="108" t="s">
        <v>2</v>
      </c>
      <c r="G117" s="180">
        <v>14.5</v>
      </c>
      <c r="H117" s="122" t="s">
        <v>2</v>
      </c>
      <c r="I117" s="180">
        <f>G117</f>
        <v>14.5</v>
      </c>
      <c r="J117" s="122" t="s">
        <v>2</v>
      </c>
      <c r="K117" s="144">
        <v>2</v>
      </c>
      <c r="L117" s="108"/>
      <c r="M117" t="s">
        <v>3</v>
      </c>
      <c r="N117" s="125">
        <f>C117*E117*G117*I117*K117</f>
        <v>660.18500000000006</v>
      </c>
      <c r="O117" t="s">
        <v>18</v>
      </c>
      <c r="P117" s="19"/>
      <c r="Q117" s="109"/>
      <c r="R117" s="10"/>
    </row>
    <row r="118" spans="1:18" ht="15.75">
      <c r="B118" s="70" t="s">
        <v>214</v>
      </c>
      <c r="C118" s="168" t="s">
        <v>191</v>
      </c>
      <c r="D118" s="169" t="s">
        <v>2</v>
      </c>
      <c r="E118" s="168">
        <v>3.14</v>
      </c>
      <c r="F118" s="169" t="s">
        <v>2</v>
      </c>
      <c r="G118" s="170">
        <v>15.5</v>
      </c>
      <c r="H118" s="171" t="s">
        <v>2</v>
      </c>
      <c r="I118" s="170">
        <v>1.17</v>
      </c>
      <c r="J118" s="171" t="s">
        <v>2</v>
      </c>
      <c r="K118" s="170">
        <v>1.25</v>
      </c>
      <c r="L118" s="169"/>
      <c r="M118" s="43" t="s">
        <v>3</v>
      </c>
      <c r="N118" s="172">
        <v>71.959999999999994</v>
      </c>
      <c r="O118" s="43" t="s">
        <v>18</v>
      </c>
      <c r="P118" s="19"/>
      <c r="Q118" s="109"/>
      <c r="R118" s="10"/>
    </row>
    <row r="119" spans="1:18" ht="14.25">
      <c r="B119" s="123" t="s">
        <v>211</v>
      </c>
      <c r="C119" s="179">
        <f>C76</f>
        <v>10</v>
      </c>
      <c r="D119" s="179" t="s">
        <v>2</v>
      </c>
      <c r="E119" s="179">
        <v>0.78500000000000003</v>
      </c>
      <c r="F119" s="179" t="s">
        <v>2</v>
      </c>
      <c r="G119" s="180">
        <v>9.5</v>
      </c>
      <c r="H119" s="180" t="s">
        <v>2</v>
      </c>
      <c r="I119" s="180">
        <f>G119</f>
        <v>9.5</v>
      </c>
      <c r="J119" s="182" t="s">
        <v>2</v>
      </c>
      <c r="K119" s="180">
        <v>2</v>
      </c>
      <c r="L119" s="179"/>
      <c r="M119" t="s">
        <v>3</v>
      </c>
      <c r="N119" s="125">
        <f>C119*E119*G119*I119*K119</f>
        <v>1416.925</v>
      </c>
      <c r="O119" t="s">
        <v>18</v>
      </c>
      <c r="P119" s="19"/>
      <c r="Q119" s="181"/>
      <c r="R119" s="10"/>
    </row>
    <row r="120" spans="1:18" ht="15.75">
      <c r="B120" s="70" t="s">
        <v>215</v>
      </c>
      <c r="C120" s="168" t="s">
        <v>191</v>
      </c>
      <c r="D120" s="169" t="s">
        <v>2</v>
      </c>
      <c r="E120" s="168">
        <v>3.14</v>
      </c>
      <c r="F120" s="169" t="s">
        <v>2</v>
      </c>
      <c r="G120" s="170">
        <v>10.5</v>
      </c>
      <c r="H120" s="171" t="s">
        <v>2</v>
      </c>
      <c r="I120" s="170">
        <v>1.17</v>
      </c>
      <c r="J120" s="171" t="s">
        <v>2</v>
      </c>
      <c r="K120" s="170">
        <v>1.25</v>
      </c>
      <c r="L120" s="169"/>
      <c r="M120" s="43" t="s">
        <v>3</v>
      </c>
      <c r="N120" s="209">
        <v>24.49</v>
      </c>
      <c r="O120" s="43" t="s">
        <v>18</v>
      </c>
      <c r="P120" s="19"/>
      <c r="Q120" s="181"/>
      <c r="R120" s="10"/>
    </row>
    <row r="121" spans="1:18" ht="15.75" customHeight="1">
      <c r="C121" s="108"/>
      <c r="D121" s="108"/>
      <c r="E121" s="108"/>
      <c r="F121" s="108"/>
      <c r="G121" s="108"/>
      <c r="H121" s="108"/>
      <c r="I121" s="108"/>
      <c r="J121" s="108"/>
      <c r="K121" s="108"/>
      <c r="L121" s="108"/>
      <c r="N121" s="113">
        <v>11698.37</v>
      </c>
      <c r="O121" s="6" t="s">
        <v>167</v>
      </c>
      <c r="P121" s="19"/>
      <c r="Q121" s="109"/>
      <c r="R121" s="10"/>
    </row>
    <row r="122" spans="1:18">
      <c r="C122" s="1"/>
      <c r="D122" s="1"/>
      <c r="E122" s="1"/>
      <c r="F122" s="1"/>
      <c r="G122" s="1"/>
      <c r="H122" s="1"/>
      <c r="I122" s="1"/>
      <c r="J122" s="1"/>
      <c r="K122" s="1"/>
      <c r="L122" s="1"/>
      <c r="N122" s="51"/>
      <c r="O122" s="53"/>
      <c r="P122" s="19"/>
      <c r="Q122" s="9"/>
      <c r="R122" s="10"/>
    </row>
    <row r="123" spans="1:18">
      <c r="B123" s="56">
        <f>N121</f>
        <v>11698.37</v>
      </c>
      <c r="C123" s="119" t="s">
        <v>167</v>
      </c>
      <c r="D123" s="1"/>
      <c r="E123" s="1"/>
      <c r="F123" s="1"/>
      <c r="G123" s="1"/>
      <c r="H123" s="1"/>
      <c r="I123" s="1"/>
      <c r="J123" s="1"/>
      <c r="K123" s="1"/>
      <c r="L123" s="124" t="s">
        <v>178</v>
      </c>
      <c r="M123" s="113" t="s">
        <v>5</v>
      </c>
      <c r="N123" s="13">
        <v>9416.2800000000007</v>
      </c>
      <c r="O123" s="19" t="s">
        <v>27</v>
      </c>
      <c r="P123" s="9" t="s">
        <v>16</v>
      </c>
      <c r="Q123" s="10">
        <f>B123*N123/100</f>
        <v>1101551.2746360002</v>
      </c>
    </row>
    <row r="124" spans="1:18">
      <c r="C124" s="1"/>
      <c r="D124" s="1"/>
      <c r="E124" s="1"/>
      <c r="F124" s="1"/>
      <c r="G124" s="1"/>
      <c r="H124" s="1"/>
      <c r="I124" s="1"/>
      <c r="J124" s="1"/>
      <c r="K124" s="1"/>
      <c r="L124" s="1"/>
      <c r="N124" s="51"/>
      <c r="O124" s="5"/>
      <c r="P124" s="19"/>
      <c r="Q124" s="9"/>
      <c r="R124" s="10"/>
    </row>
    <row r="125" spans="1:18" ht="15.75">
      <c r="A125" s="267">
        <v>6</v>
      </c>
      <c r="B125" s="21" t="s">
        <v>67</v>
      </c>
      <c r="C125" s="1"/>
      <c r="D125" s="1"/>
      <c r="E125" s="1"/>
      <c r="F125" s="1"/>
      <c r="G125" s="1"/>
      <c r="H125" s="1"/>
      <c r="I125" s="1"/>
      <c r="J125" s="1"/>
      <c r="K125" s="1"/>
      <c r="L125" s="1"/>
      <c r="N125" s="9"/>
      <c r="O125" s="5"/>
      <c r="P125" s="19"/>
      <c r="Q125" s="9"/>
      <c r="R125" s="5"/>
    </row>
    <row r="126" spans="1:18" ht="15.75">
      <c r="B126" s="21" t="s">
        <v>68</v>
      </c>
      <c r="C126" s="1"/>
      <c r="D126" s="1"/>
      <c r="E126" s="1"/>
      <c r="F126" s="1"/>
      <c r="G126" s="1"/>
      <c r="H126" s="1"/>
      <c r="I126" s="1"/>
      <c r="J126" s="1"/>
      <c r="K126" s="1"/>
      <c r="L126" s="1"/>
      <c r="N126" s="9"/>
      <c r="O126" s="5"/>
      <c r="P126" s="19"/>
      <c r="Q126" s="9"/>
      <c r="R126" s="5"/>
    </row>
    <row r="127" spans="1:18">
      <c r="B127" s="6" t="s">
        <v>124</v>
      </c>
      <c r="C127" s="1"/>
      <c r="D127" s="1"/>
      <c r="E127" s="1"/>
      <c r="F127" s="1"/>
      <c r="G127" s="1"/>
      <c r="H127" s="1"/>
      <c r="I127" s="1"/>
      <c r="J127" s="1"/>
      <c r="K127" s="1"/>
      <c r="L127" s="1"/>
      <c r="N127" s="9"/>
      <c r="O127" s="5"/>
      <c r="P127" s="19"/>
      <c r="Q127" s="9"/>
      <c r="R127" s="5"/>
    </row>
    <row r="128" spans="1:18">
      <c r="A128" s="268" t="s">
        <v>150</v>
      </c>
      <c r="B128" s="49" t="s">
        <v>147</v>
      </c>
      <c r="C128" s="1"/>
      <c r="D128" s="1"/>
      <c r="E128" s="1"/>
      <c r="F128" s="1"/>
      <c r="G128" s="1"/>
      <c r="H128" s="1"/>
      <c r="I128" s="1"/>
      <c r="J128" s="1"/>
      <c r="K128" s="1"/>
      <c r="L128" s="1"/>
      <c r="N128" s="9"/>
      <c r="O128" s="5"/>
      <c r="P128" s="19"/>
      <c r="Q128" s="9"/>
      <c r="R128" s="5"/>
    </row>
    <row r="129" spans="1:18" ht="15.75">
      <c r="B129" s="20" t="s">
        <v>162</v>
      </c>
      <c r="C129" s="116">
        <f>C7</f>
        <v>4</v>
      </c>
      <c r="D129" s="116" t="s">
        <v>2</v>
      </c>
      <c r="E129" s="116">
        <v>0.78500000000000003</v>
      </c>
      <c r="F129" s="116" t="s">
        <v>2</v>
      </c>
      <c r="G129" s="122">
        <v>30</v>
      </c>
      <c r="H129" s="122" t="s">
        <v>2</v>
      </c>
      <c r="I129" s="122">
        <f>G129</f>
        <v>30</v>
      </c>
      <c r="J129" s="122" t="s">
        <v>2</v>
      </c>
      <c r="K129" s="122">
        <v>1</v>
      </c>
      <c r="L129" s="116"/>
      <c r="M129" t="s">
        <v>3</v>
      </c>
      <c r="N129" s="29">
        <f>C129*E129*G129*I129*K129</f>
        <v>2826</v>
      </c>
      <c r="O129" t="s">
        <v>18</v>
      </c>
    </row>
    <row r="130" spans="1:18" ht="9" customHeight="1">
      <c r="C130" s="116"/>
      <c r="D130" s="116"/>
      <c r="E130" s="116"/>
      <c r="F130" s="116"/>
      <c r="G130" s="122"/>
      <c r="H130" s="122"/>
      <c r="I130" s="122"/>
      <c r="J130" s="122"/>
      <c r="K130" s="122"/>
      <c r="L130" s="116"/>
      <c r="N130" s="50"/>
      <c r="O130" s="16"/>
    </row>
    <row r="131" spans="1:18" ht="15.75">
      <c r="B131" s="20" t="s">
        <v>164</v>
      </c>
      <c r="C131" s="116">
        <f>C9</f>
        <v>8</v>
      </c>
      <c r="D131" s="116" t="s">
        <v>2</v>
      </c>
      <c r="E131" s="116">
        <v>0.78500000000000003</v>
      </c>
      <c r="F131" s="116" t="s">
        <v>2</v>
      </c>
      <c r="G131" s="122">
        <v>25</v>
      </c>
      <c r="H131" s="122" t="s">
        <v>2</v>
      </c>
      <c r="I131" s="122">
        <f>G131</f>
        <v>25</v>
      </c>
      <c r="J131" s="122" t="s">
        <v>2</v>
      </c>
      <c r="K131" s="122">
        <v>1</v>
      </c>
      <c r="L131" s="122"/>
      <c r="M131" t="s">
        <v>3</v>
      </c>
      <c r="N131" s="29">
        <f>C131*E131*G131*I131*K131</f>
        <v>3925</v>
      </c>
      <c r="O131" t="s">
        <v>18</v>
      </c>
    </row>
    <row r="132" spans="1:18">
      <c r="C132" s="116"/>
      <c r="D132" s="116"/>
      <c r="E132" s="116"/>
      <c r="F132" s="116"/>
      <c r="G132" s="122"/>
      <c r="H132" s="122"/>
      <c r="I132" s="122"/>
      <c r="J132" s="122"/>
      <c r="K132" s="122"/>
      <c r="L132" s="116"/>
      <c r="N132" s="50"/>
      <c r="O132" s="16"/>
    </row>
    <row r="133" spans="1:18" ht="15.75">
      <c r="B133" s="20" t="s">
        <v>165</v>
      </c>
      <c r="C133" s="116">
        <f>C11</f>
        <v>1</v>
      </c>
      <c r="D133" s="116" t="s">
        <v>2</v>
      </c>
      <c r="E133" s="116">
        <v>0.78500000000000003</v>
      </c>
      <c r="F133" s="116" t="s">
        <v>2</v>
      </c>
      <c r="G133" s="122">
        <v>20</v>
      </c>
      <c r="H133" s="122" t="s">
        <v>2</v>
      </c>
      <c r="I133" s="122">
        <f>G133</f>
        <v>20</v>
      </c>
      <c r="J133" s="122" t="s">
        <v>2</v>
      </c>
      <c r="K133" s="122">
        <v>1</v>
      </c>
      <c r="L133" s="116"/>
      <c r="M133" t="s">
        <v>3</v>
      </c>
      <c r="N133" s="29">
        <f>C133*E133*G133*I133*K133</f>
        <v>314</v>
      </c>
      <c r="O133" t="s">
        <v>18</v>
      </c>
    </row>
    <row r="134" spans="1:18">
      <c r="C134" s="116"/>
      <c r="D134" s="116"/>
      <c r="E134" s="116"/>
      <c r="F134" s="116"/>
      <c r="G134" s="122"/>
      <c r="H134" s="122"/>
      <c r="I134" s="122"/>
      <c r="J134" s="122"/>
      <c r="K134" s="122"/>
      <c r="L134" s="116"/>
      <c r="N134" s="50"/>
      <c r="O134" s="16"/>
    </row>
    <row r="135" spans="1:18" ht="14.25">
      <c r="B135" s="121" t="s">
        <v>166</v>
      </c>
      <c r="C135" s="116">
        <f>C93</f>
        <v>2</v>
      </c>
      <c r="D135" s="116" t="s">
        <v>2</v>
      </c>
      <c r="E135" s="116">
        <v>0.78500000000000003</v>
      </c>
      <c r="F135" s="116" t="s">
        <v>2</v>
      </c>
      <c r="G135" s="122">
        <v>15</v>
      </c>
      <c r="H135" s="122" t="s">
        <v>2</v>
      </c>
      <c r="I135" s="122">
        <f>G135</f>
        <v>15</v>
      </c>
      <c r="J135" s="122" t="s">
        <v>2</v>
      </c>
      <c r="K135" s="122">
        <v>1</v>
      </c>
      <c r="L135" s="116"/>
      <c r="M135" t="s">
        <v>3</v>
      </c>
      <c r="N135" s="159">
        <f>C135*E135*G135*I135*K135</f>
        <v>353.25</v>
      </c>
      <c r="O135" t="s">
        <v>18</v>
      </c>
    </row>
    <row r="136" spans="1:18" ht="23.25" customHeight="1">
      <c r="B136" s="121" t="s">
        <v>211</v>
      </c>
      <c r="C136" s="179">
        <f>C15</f>
        <v>10</v>
      </c>
      <c r="D136" s="179" t="s">
        <v>2</v>
      </c>
      <c r="E136" s="179">
        <v>0.78500000000000003</v>
      </c>
      <c r="F136" s="179" t="s">
        <v>2</v>
      </c>
      <c r="G136" s="182">
        <v>10</v>
      </c>
      <c r="H136" s="182" t="s">
        <v>2</v>
      </c>
      <c r="I136" s="182">
        <f>G136</f>
        <v>10</v>
      </c>
      <c r="J136" s="182" t="s">
        <v>2</v>
      </c>
      <c r="K136" s="182">
        <v>1</v>
      </c>
      <c r="L136" s="179"/>
      <c r="M136" t="s">
        <v>3</v>
      </c>
      <c r="N136" s="120">
        <f>C136*E136*G136*I136*K136</f>
        <v>785</v>
      </c>
      <c r="O136" t="s">
        <v>18</v>
      </c>
    </row>
    <row r="137" spans="1:18">
      <c r="B137" s="6"/>
      <c r="C137" s="179"/>
      <c r="D137" s="179"/>
      <c r="E137" s="179"/>
      <c r="F137" s="179"/>
      <c r="G137" s="182"/>
      <c r="H137" s="182"/>
      <c r="I137" s="180"/>
      <c r="J137" s="182"/>
      <c r="K137" s="182"/>
      <c r="L137" s="179"/>
      <c r="N137" s="29">
        <f>SUM(N129:N136)</f>
        <v>8203.25</v>
      </c>
      <c r="P137" s="19"/>
      <c r="Q137" s="181"/>
      <c r="R137" s="5"/>
    </row>
    <row r="138" spans="1:18">
      <c r="B138" s="56">
        <f>N137</f>
        <v>8203.25</v>
      </c>
      <c r="C138" s="206" t="s">
        <v>167</v>
      </c>
      <c r="D138" s="1"/>
      <c r="E138" s="1"/>
      <c r="F138" s="1"/>
      <c r="G138" s="122"/>
      <c r="H138" s="122"/>
      <c r="I138" s="122"/>
      <c r="J138" s="122"/>
      <c r="K138" s="122"/>
      <c r="L138" s="1"/>
      <c r="M138" s="29" t="str">
        <f>M123</f>
        <v>Rs</v>
      </c>
      <c r="N138" s="13">
        <v>11288.75</v>
      </c>
      <c r="O138" s="19" t="s">
        <v>27</v>
      </c>
      <c r="P138" s="9" t="s">
        <v>16</v>
      </c>
      <c r="Q138" s="10">
        <f>B138*N138/100</f>
        <v>926044.38437500002</v>
      </c>
    </row>
    <row r="139" spans="1:18">
      <c r="C139" s="1"/>
      <c r="D139" s="1"/>
      <c r="E139" s="1"/>
      <c r="F139" s="1"/>
      <c r="G139" s="122"/>
      <c r="H139" s="122"/>
      <c r="I139" s="122"/>
      <c r="J139" s="122"/>
      <c r="K139" s="122"/>
      <c r="L139" s="1"/>
      <c r="N139" s="9"/>
      <c r="O139" s="5"/>
      <c r="P139" s="19"/>
      <c r="Q139" s="9"/>
      <c r="R139" s="5"/>
    </row>
    <row r="140" spans="1:18">
      <c r="A140" s="268" t="s">
        <v>151</v>
      </c>
      <c r="B140" s="49" t="s">
        <v>148</v>
      </c>
      <c r="C140" s="1"/>
      <c r="D140" s="1"/>
      <c r="E140" s="1"/>
      <c r="F140" s="1"/>
      <c r="G140" s="122"/>
      <c r="H140" s="122"/>
      <c r="I140" s="122"/>
      <c r="J140" s="122"/>
      <c r="K140" s="122"/>
      <c r="L140" s="1"/>
      <c r="N140" s="9"/>
      <c r="O140" s="5"/>
      <c r="P140" s="19"/>
      <c r="Q140" s="9"/>
      <c r="R140" s="5"/>
    </row>
    <row r="141" spans="1:18" ht="15.75">
      <c r="B141" s="20" t="s">
        <v>162</v>
      </c>
      <c r="C141" s="116">
        <f>C7</f>
        <v>4</v>
      </c>
      <c r="D141" s="116" t="s">
        <v>2</v>
      </c>
      <c r="E141" s="116">
        <v>0.78500000000000003</v>
      </c>
      <c r="F141" s="116" t="s">
        <v>2</v>
      </c>
      <c r="G141" s="122">
        <v>30</v>
      </c>
      <c r="H141" s="122" t="s">
        <v>2</v>
      </c>
      <c r="I141" s="122">
        <f>G141</f>
        <v>30</v>
      </c>
      <c r="J141" s="122" t="s">
        <v>2</v>
      </c>
      <c r="K141" s="122">
        <v>1</v>
      </c>
      <c r="L141" s="116"/>
      <c r="M141" t="s">
        <v>3</v>
      </c>
      <c r="N141" s="29">
        <f>C141*E141*G141*I141*K141</f>
        <v>2826</v>
      </c>
      <c r="O141" t="s">
        <v>18</v>
      </c>
    </row>
    <row r="142" spans="1:18" ht="9" customHeight="1">
      <c r="C142" s="116"/>
      <c r="D142" s="116"/>
      <c r="E142" s="116"/>
      <c r="F142" s="116"/>
      <c r="G142" s="122"/>
      <c r="H142" s="122"/>
      <c r="I142" s="122"/>
      <c r="J142" s="122"/>
      <c r="K142" s="122"/>
      <c r="L142" s="116"/>
      <c r="N142" s="50"/>
      <c r="O142" s="16"/>
    </row>
    <row r="143" spans="1:18" ht="15.75">
      <c r="B143" s="20" t="s">
        <v>164</v>
      </c>
      <c r="C143" s="116">
        <f>C131</f>
        <v>8</v>
      </c>
      <c r="D143" s="116" t="s">
        <v>2</v>
      </c>
      <c r="E143" s="116">
        <v>0.78500000000000003</v>
      </c>
      <c r="F143" s="116" t="s">
        <v>2</v>
      </c>
      <c r="G143" s="122">
        <v>25</v>
      </c>
      <c r="H143" s="122" t="s">
        <v>2</v>
      </c>
      <c r="I143" s="122">
        <f>G143</f>
        <v>25</v>
      </c>
      <c r="J143" s="122" t="s">
        <v>2</v>
      </c>
      <c r="K143" s="122">
        <v>1</v>
      </c>
      <c r="L143" s="122"/>
      <c r="M143" t="s">
        <v>3</v>
      </c>
      <c r="N143" s="29">
        <f>C143*E143*G143*I143*K143</f>
        <v>3925</v>
      </c>
      <c r="O143" t="s">
        <v>18</v>
      </c>
    </row>
    <row r="144" spans="1:18">
      <c r="C144" s="116"/>
      <c r="D144" s="116"/>
      <c r="E144" s="116"/>
      <c r="F144" s="116"/>
      <c r="G144" s="122"/>
      <c r="H144" s="122"/>
      <c r="I144" s="122"/>
      <c r="J144" s="122"/>
      <c r="K144" s="122"/>
      <c r="L144" s="116"/>
      <c r="N144" s="50"/>
      <c r="O144" s="16"/>
    </row>
    <row r="145" spans="1:18" ht="15.75">
      <c r="B145" s="20" t="s">
        <v>165</v>
      </c>
      <c r="C145" s="116">
        <f>C11</f>
        <v>1</v>
      </c>
      <c r="D145" s="116" t="s">
        <v>2</v>
      </c>
      <c r="E145" s="116">
        <v>0.78500000000000003</v>
      </c>
      <c r="F145" s="116" t="s">
        <v>2</v>
      </c>
      <c r="G145" s="122">
        <v>20</v>
      </c>
      <c r="H145" s="122" t="s">
        <v>2</v>
      </c>
      <c r="I145" s="122">
        <f>G145</f>
        <v>20</v>
      </c>
      <c r="J145" s="122" t="s">
        <v>2</v>
      </c>
      <c r="K145" s="122">
        <v>1</v>
      </c>
      <c r="L145" s="116"/>
      <c r="M145" t="s">
        <v>3</v>
      </c>
      <c r="N145" s="29">
        <f>C145*E145*G145*I145*K145</f>
        <v>314</v>
      </c>
      <c r="O145" t="s">
        <v>18</v>
      </c>
    </row>
    <row r="146" spans="1:18">
      <c r="C146" s="116"/>
      <c r="D146" s="116"/>
      <c r="E146" s="116"/>
      <c r="F146" s="116"/>
      <c r="G146" s="122"/>
      <c r="H146" s="122"/>
      <c r="I146" s="122"/>
      <c r="J146" s="122"/>
      <c r="K146" s="122"/>
      <c r="L146" s="116"/>
      <c r="N146" s="50"/>
      <c r="O146" s="16"/>
    </row>
    <row r="147" spans="1:18" ht="14.25">
      <c r="B147" s="121" t="s">
        <v>166</v>
      </c>
      <c r="C147" s="116">
        <v>2</v>
      </c>
      <c r="D147" s="116" t="s">
        <v>2</v>
      </c>
      <c r="E147" s="116">
        <v>0.78500000000000003</v>
      </c>
      <c r="F147" s="116" t="s">
        <v>2</v>
      </c>
      <c r="G147" s="122">
        <v>15</v>
      </c>
      <c r="H147" s="122" t="s">
        <v>2</v>
      </c>
      <c r="I147" s="122">
        <f>G147</f>
        <v>15</v>
      </c>
      <c r="J147" s="122" t="s">
        <v>2</v>
      </c>
      <c r="K147" s="122">
        <v>1</v>
      </c>
      <c r="L147" s="116"/>
      <c r="M147" t="s">
        <v>3</v>
      </c>
      <c r="N147" s="159">
        <f>C147*E147*G147*I147*K147</f>
        <v>353.25</v>
      </c>
      <c r="O147" t="s">
        <v>18</v>
      </c>
    </row>
    <row r="148" spans="1:18" ht="21.75" customHeight="1">
      <c r="B148" s="121" t="s">
        <v>211</v>
      </c>
      <c r="C148" s="179">
        <f>C136</f>
        <v>10</v>
      </c>
      <c r="D148" s="179" t="s">
        <v>2</v>
      </c>
      <c r="E148" s="179">
        <v>0.78500000000000003</v>
      </c>
      <c r="F148" s="179" t="s">
        <v>2</v>
      </c>
      <c r="G148" s="182">
        <v>10</v>
      </c>
      <c r="H148" s="182" t="s">
        <v>2</v>
      </c>
      <c r="I148" s="182">
        <f>G148</f>
        <v>10</v>
      </c>
      <c r="J148" s="182" t="s">
        <v>2</v>
      </c>
      <c r="K148" s="182">
        <v>1</v>
      </c>
      <c r="L148" s="179"/>
      <c r="M148" t="s">
        <v>3</v>
      </c>
      <c r="N148" s="159">
        <f>C148*E148*G148*I148*K148</f>
        <v>785</v>
      </c>
      <c r="O148" t="s">
        <v>18</v>
      </c>
    </row>
    <row r="149" spans="1:18">
      <c r="C149" s="116"/>
      <c r="D149" s="116"/>
      <c r="E149" s="116"/>
      <c r="F149" s="116"/>
      <c r="G149" s="116"/>
      <c r="H149" s="116"/>
      <c r="I149" s="116"/>
      <c r="J149" s="116"/>
      <c r="K149" s="116"/>
      <c r="L149" s="116"/>
      <c r="N149" s="118">
        <f>SUM(N141:N148)</f>
        <v>8203.25</v>
      </c>
      <c r="O149" s="16"/>
    </row>
    <row r="150" spans="1:18" ht="17.25" customHeight="1">
      <c r="B150" s="56">
        <f>N149</f>
        <v>8203.25</v>
      </c>
      <c r="C150" s="1" t="str">
        <f>O147</f>
        <v>Cft.</v>
      </c>
      <c r="D150" s="1"/>
      <c r="E150" s="1"/>
      <c r="F150" s="1"/>
      <c r="G150" s="1"/>
      <c r="H150" s="1"/>
      <c r="I150" s="1"/>
      <c r="J150" s="1"/>
      <c r="K150" s="1"/>
      <c r="L150" s="1"/>
      <c r="M150" s="29" t="str">
        <f>M138</f>
        <v>Rs</v>
      </c>
      <c r="N150" s="13">
        <v>12595</v>
      </c>
      <c r="O150" s="19" t="str">
        <f>O138</f>
        <v>P% Cft</v>
      </c>
      <c r="P150" s="9" t="s">
        <v>16</v>
      </c>
      <c r="Q150" s="10">
        <f>B150*N150/100</f>
        <v>1033199.3375</v>
      </c>
    </row>
    <row r="151" spans="1:18">
      <c r="B151" s="56"/>
      <c r="C151" s="116"/>
      <c r="D151" s="116"/>
      <c r="E151" s="116"/>
      <c r="F151" s="116"/>
      <c r="G151" s="116"/>
      <c r="H151" s="116"/>
      <c r="I151" s="116"/>
      <c r="J151" s="116"/>
      <c r="K151" s="116"/>
      <c r="L151" s="116"/>
      <c r="M151" s="29"/>
      <c r="N151" s="13"/>
      <c r="O151" s="19"/>
      <c r="P151" s="117"/>
      <c r="Q151" s="10"/>
    </row>
    <row r="152" spans="1:18">
      <c r="A152" s="268" t="s">
        <v>152</v>
      </c>
      <c r="B152" s="49" t="s">
        <v>149</v>
      </c>
      <c r="C152" s="1"/>
      <c r="D152" s="1"/>
      <c r="E152" s="1"/>
      <c r="F152" s="1"/>
      <c r="G152" s="1"/>
      <c r="H152" s="1"/>
      <c r="I152" s="1"/>
      <c r="J152" s="1"/>
      <c r="K152" s="1"/>
      <c r="L152" s="1"/>
      <c r="N152" s="9"/>
      <c r="O152" s="5"/>
      <c r="P152" s="19"/>
      <c r="Q152" s="9"/>
      <c r="R152" s="5"/>
    </row>
    <row r="153" spans="1:18" ht="15.75">
      <c r="B153" s="7" t="s">
        <v>162</v>
      </c>
      <c r="C153" s="116">
        <f>C129</f>
        <v>4</v>
      </c>
      <c r="D153" s="116" t="s">
        <v>2</v>
      </c>
      <c r="E153" s="116">
        <v>0.78500000000000003</v>
      </c>
      <c r="F153" s="116" t="s">
        <v>2</v>
      </c>
      <c r="G153" s="122">
        <v>30</v>
      </c>
      <c r="H153" s="116" t="s">
        <v>2</v>
      </c>
      <c r="I153" s="122">
        <f>G153</f>
        <v>30</v>
      </c>
      <c r="J153" s="116" t="s">
        <v>2</v>
      </c>
      <c r="K153" s="122">
        <v>1</v>
      </c>
      <c r="L153" s="116"/>
      <c r="M153" t="s">
        <v>3</v>
      </c>
      <c r="N153" s="29">
        <f>C153*E153*G153*I153*K153</f>
        <v>2826</v>
      </c>
      <c r="O153" t="s">
        <v>18</v>
      </c>
    </row>
    <row r="154" spans="1:18" ht="9" customHeight="1">
      <c r="B154" s="6"/>
      <c r="C154" s="116"/>
      <c r="D154" s="116"/>
      <c r="E154" s="116"/>
      <c r="F154" s="116"/>
      <c r="G154" s="116"/>
      <c r="H154" s="116"/>
      <c r="I154" s="116"/>
      <c r="J154" s="116"/>
      <c r="K154" s="116"/>
      <c r="L154" s="116"/>
      <c r="N154" s="50"/>
      <c r="O154" s="16"/>
    </row>
    <row r="155" spans="1:18" ht="15.75">
      <c r="B155" s="7" t="s">
        <v>164</v>
      </c>
      <c r="C155" s="116">
        <f>C9</f>
        <v>8</v>
      </c>
      <c r="D155" s="116" t="s">
        <v>2</v>
      </c>
      <c r="E155" s="116">
        <v>0.78500000000000003</v>
      </c>
      <c r="F155" s="116" t="s">
        <v>2</v>
      </c>
      <c r="G155" s="122">
        <v>25</v>
      </c>
      <c r="H155" s="122" t="s">
        <v>2</v>
      </c>
      <c r="I155" s="122">
        <f>G155</f>
        <v>25</v>
      </c>
      <c r="J155" s="122" t="s">
        <v>2</v>
      </c>
      <c r="K155" s="122">
        <v>1</v>
      </c>
      <c r="L155" s="122"/>
      <c r="M155" t="s">
        <v>3</v>
      </c>
      <c r="N155" s="29">
        <f>C155*E155*G155*I155*K155</f>
        <v>3925</v>
      </c>
      <c r="O155" t="s">
        <v>18</v>
      </c>
    </row>
    <row r="156" spans="1:18">
      <c r="B156" s="6"/>
      <c r="C156" s="116"/>
      <c r="D156" s="116"/>
      <c r="E156" s="116"/>
      <c r="F156" s="116"/>
      <c r="G156" s="116"/>
      <c r="H156" s="116"/>
      <c r="I156" s="116"/>
      <c r="J156" s="116"/>
      <c r="K156" s="116"/>
      <c r="L156" s="116"/>
      <c r="N156" s="50"/>
      <c r="O156" s="16"/>
    </row>
    <row r="157" spans="1:18" ht="15.75">
      <c r="B157" s="7" t="s">
        <v>165</v>
      </c>
      <c r="C157" s="116">
        <f>C145</f>
        <v>1</v>
      </c>
      <c r="D157" s="116" t="s">
        <v>2</v>
      </c>
      <c r="E157" s="116">
        <v>0.78500000000000003</v>
      </c>
      <c r="F157" s="116" t="s">
        <v>2</v>
      </c>
      <c r="G157" s="122">
        <v>20</v>
      </c>
      <c r="H157" s="122" t="s">
        <v>2</v>
      </c>
      <c r="I157" s="122">
        <f>G157</f>
        <v>20</v>
      </c>
      <c r="J157" s="116" t="s">
        <v>2</v>
      </c>
      <c r="K157" s="122">
        <v>1</v>
      </c>
      <c r="L157" s="116"/>
      <c r="M157" t="s">
        <v>3</v>
      </c>
      <c r="N157" s="29">
        <f>C157*E157*G157*I157*K157</f>
        <v>314</v>
      </c>
      <c r="O157" t="s">
        <v>18</v>
      </c>
    </row>
    <row r="158" spans="1:18">
      <c r="B158" s="6"/>
      <c r="C158" s="116"/>
      <c r="D158" s="116"/>
      <c r="E158" s="116"/>
      <c r="F158" s="116"/>
      <c r="G158" s="116"/>
      <c r="H158" s="116"/>
      <c r="I158" s="116"/>
      <c r="J158" s="116"/>
      <c r="K158" s="116"/>
      <c r="L158" s="116"/>
      <c r="N158" s="50"/>
      <c r="O158" s="16"/>
    </row>
    <row r="159" spans="1:18" ht="14.25">
      <c r="B159" s="123" t="s">
        <v>166</v>
      </c>
      <c r="C159" s="116">
        <f>C13</f>
        <v>2</v>
      </c>
      <c r="D159" s="116" t="s">
        <v>2</v>
      </c>
      <c r="E159" s="116">
        <v>0.78500000000000003</v>
      </c>
      <c r="F159" s="116" t="s">
        <v>2</v>
      </c>
      <c r="G159" s="122">
        <v>15</v>
      </c>
      <c r="H159" s="122" t="s">
        <v>2</v>
      </c>
      <c r="I159" s="122">
        <f>G159</f>
        <v>15</v>
      </c>
      <c r="J159" s="122" t="s">
        <v>2</v>
      </c>
      <c r="K159" s="122">
        <v>1</v>
      </c>
      <c r="L159" s="116"/>
      <c r="M159" t="s">
        <v>3</v>
      </c>
      <c r="N159" s="159">
        <f>C159*E159*G159*I159*K159</f>
        <v>353.25</v>
      </c>
      <c r="O159" t="s">
        <v>18</v>
      </c>
    </row>
    <row r="160" spans="1:18" ht="18.75" customHeight="1">
      <c r="B160" s="123" t="s">
        <v>211</v>
      </c>
      <c r="C160" s="179">
        <f>C15</f>
        <v>10</v>
      </c>
      <c r="D160" s="179" t="s">
        <v>2</v>
      </c>
      <c r="E160" s="179">
        <v>0.78500000000000003</v>
      </c>
      <c r="F160" s="179" t="s">
        <v>2</v>
      </c>
      <c r="G160" s="182">
        <v>10</v>
      </c>
      <c r="H160" s="182" t="s">
        <v>2</v>
      </c>
      <c r="I160" s="182">
        <f>G160</f>
        <v>10</v>
      </c>
      <c r="J160" s="182" t="s">
        <v>2</v>
      </c>
      <c r="K160" s="182">
        <v>1</v>
      </c>
      <c r="L160" s="179"/>
      <c r="M160" t="s">
        <v>3</v>
      </c>
      <c r="N160" s="120">
        <f>C160*E160*G160*I160*K160</f>
        <v>785</v>
      </c>
      <c r="O160" t="s">
        <v>18</v>
      </c>
    </row>
    <row r="161" spans="1:18">
      <c r="C161" s="116"/>
      <c r="D161" s="116"/>
      <c r="E161" s="116"/>
      <c r="F161" s="116"/>
      <c r="G161" s="116"/>
      <c r="H161" s="116"/>
      <c r="I161" s="116"/>
      <c r="J161" s="116"/>
      <c r="K161" s="116"/>
      <c r="L161" s="116"/>
      <c r="N161" s="118">
        <f>SUM(N153:N160)</f>
        <v>8203.25</v>
      </c>
      <c r="O161" s="16"/>
    </row>
    <row r="162" spans="1:18">
      <c r="B162" s="56">
        <f>N161</f>
        <v>8203.25</v>
      </c>
      <c r="C162" s="1" t="str">
        <f>O159</f>
        <v>Cft.</v>
      </c>
      <c r="D162" s="1"/>
      <c r="E162" s="1"/>
      <c r="F162" s="1"/>
      <c r="G162" s="1"/>
      <c r="H162" s="1"/>
      <c r="I162" s="1"/>
      <c r="J162" s="1"/>
      <c r="K162" s="1"/>
      <c r="L162" s="1"/>
      <c r="M162" s="29" t="str">
        <f>M150</f>
        <v>Rs</v>
      </c>
      <c r="N162" s="13">
        <v>14429.25</v>
      </c>
      <c r="O162" s="19" t="str">
        <f>O150</f>
        <v>P% Cft</v>
      </c>
      <c r="P162" s="9" t="s">
        <v>16</v>
      </c>
      <c r="Q162" s="10">
        <f>B162*N162/100</f>
        <v>1183667.4506250001</v>
      </c>
    </row>
    <row r="163" spans="1:18">
      <c r="C163" s="1"/>
      <c r="D163" s="1"/>
      <c r="E163" s="1"/>
      <c r="F163" s="1"/>
      <c r="G163" s="1"/>
      <c r="H163" s="1"/>
      <c r="I163" s="1"/>
      <c r="J163" s="1"/>
      <c r="K163" s="1"/>
      <c r="L163" s="1"/>
      <c r="N163" s="9"/>
      <c r="O163" s="5"/>
      <c r="P163" s="19"/>
      <c r="Q163" s="9"/>
      <c r="R163" s="5"/>
    </row>
    <row r="164" spans="1:18">
      <c r="C164" s="210"/>
      <c r="D164" s="210"/>
      <c r="E164" s="210"/>
      <c r="F164" s="210"/>
      <c r="G164" s="210"/>
      <c r="H164" s="210"/>
      <c r="I164" s="210"/>
      <c r="J164" s="210"/>
      <c r="K164" s="210"/>
      <c r="L164" s="210"/>
      <c r="N164" s="211"/>
      <c r="O164" s="5"/>
      <c r="P164" s="19"/>
      <c r="Q164" s="211"/>
      <c r="R164" s="5"/>
    </row>
    <row r="165" spans="1:18">
      <c r="C165" s="210"/>
      <c r="D165" s="210"/>
      <c r="E165" s="210"/>
      <c r="F165" s="210"/>
      <c r="G165" s="210"/>
      <c r="H165" s="210"/>
      <c r="I165" s="210"/>
      <c r="J165" s="210"/>
      <c r="K165" s="210"/>
      <c r="L165" s="210"/>
      <c r="N165" s="211"/>
      <c r="O165" s="5"/>
      <c r="P165" s="19"/>
      <c r="Q165" s="211"/>
      <c r="R165" s="5"/>
    </row>
    <row r="166" spans="1:18" ht="15.75">
      <c r="A166" s="267">
        <v>7</v>
      </c>
      <c r="B166" s="21" t="s">
        <v>71</v>
      </c>
      <c r="C166" s="1"/>
      <c r="D166" s="1"/>
      <c r="E166" s="1"/>
      <c r="F166" s="1"/>
      <c r="G166" s="1"/>
      <c r="H166" s="1"/>
      <c r="I166" s="1"/>
      <c r="J166" s="1"/>
      <c r="K166" s="1"/>
      <c r="L166" s="1"/>
      <c r="N166" s="9"/>
      <c r="O166" s="5"/>
      <c r="P166" s="19"/>
      <c r="Q166" s="9"/>
      <c r="R166" s="5"/>
    </row>
    <row r="167" spans="1:18" ht="15.75">
      <c r="B167" s="21" t="s">
        <v>125</v>
      </c>
      <c r="C167" s="1"/>
      <c r="D167" s="1"/>
      <c r="E167" s="1"/>
      <c r="F167" s="1"/>
      <c r="G167" s="1"/>
      <c r="H167" s="1"/>
      <c r="I167" s="1"/>
      <c r="J167" s="1"/>
      <c r="K167" s="1"/>
      <c r="L167" s="1"/>
      <c r="N167" s="9"/>
      <c r="O167" s="5"/>
      <c r="P167" s="19"/>
      <c r="Q167" s="9"/>
      <c r="R167" s="5"/>
    </row>
    <row r="168" spans="1:18">
      <c r="B168" s="16" t="s">
        <v>72</v>
      </c>
      <c r="C168" s="126"/>
      <c r="D168" s="126"/>
      <c r="E168" s="126"/>
      <c r="F168" s="126"/>
      <c r="G168" s="126"/>
      <c r="H168" s="126"/>
      <c r="I168" s="126"/>
      <c r="J168" s="126"/>
      <c r="K168" s="126"/>
      <c r="L168" s="126"/>
      <c r="N168" s="127"/>
      <c r="O168" s="5"/>
      <c r="P168" s="19"/>
      <c r="Q168" s="127"/>
      <c r="R168" s="5"/>
    </row>
    <row r="169" spans="1:18" ht="15.75">
      <c r="B169" s="7" t="s">
        <v>162</v>
      </c>
      <c r="C169" s="126">
        <f>C7</f>
        <v>4</v>
      </c>
      <c r="D169" s="126" t="s">
        <v>2</v>
      </c>
      <c r="E169" s="126">
        <v>0.78500000000000003</v>
      </c>
      <c r="F169" s="126" t="s">
        <v>2</v>
      </c>
      <c r="G169" s="122">
        <v>30</v>
      </c>
      <c r="H169" s="122" t="s">
        <v>2</v>
      </c>
      <c r="I169" s="122">
        <f>G169</f>
        <v>30</v>
      </c>
      <c r="J169" s="122" t="s">
        <v>2</v>
      </c>
      <c r="K169" s="122">
        <v>12</v>
      </c>
      <c r="L169" s="126"/>
      <c r="M169" t="s">
        <v>3</v>
      </c>
      <c r="N169" s="29">
        <f>K169*I169*G169*E169*C169</f>
        <v>33912</v>
      </c>
      <c r="O169" s="5" t="s">
        <v>18</v>
      </c>
      <c r="P169" s="19"/>
      <c r="Q169" s="127"/>
      <c r="R169" s="5"/>
    </row>
    <row r="170" spans="1:18">
      <c r="B170" s="6"/>
      <c r="C170" s="126"/>
      <c r="D170" s="126"/>
      <c r="E170" s="126"/>
      <c r="F170" s="126"/>
      <c r="G170" s="122"/>
      <c r="H170" s="122"/>
      <c r="I170" s="122"/>
      <c r="J170" s="122"/>
      <c r="K170" s="122"/>
      <c r="L170" s="126"/>
      <c r="N170" s="127"/>
      <c r="O170" s="5"/>
      <c r="P170" s="19"/>
      <c r="Q170" s="127"/>
      <c r="R170" s="5"/>
    </row>
    <row r="171" spans="1:18" ht="15.75">
      <c r="B171" s="7" t="s">
        <v>164</v>
      </c>
      <c r="C171" s="126">
        <f>C9</f>
        <v>8</v>
      </c>
      <c r="D171" s="126" t="s">
        <v>2</v>
      </c>
      <c r="E171" s="126">
        <v>0.78500000000000003</v>
      </c>
      <c r="F171" s="126" t="s">
        <v>2</v>
      </c>
      <c r="G171" s="122">
        <v>25</v>
      </c>
      <c r="H171" s="122" t="s">
        <v>2</v>
      </c>
      <c r="I171" s="122">
        <f>G171</f>
        <v>25</v>
      </c>
      <c r="J171" s="122" t="s">
        <v>2</v>
      </c>
      <c r="K171" s="122">
        <v>12</v>
      </c>
      <c r="L171" s="126"/>
      <c r="M171" t="s">
        <v>3</v>
      </c>
      <c r="N171" s="29">
        <f>K171*I171*G171*E171*C171</f>
        <v>47100</v>
      </c>
      <c r="O171" s="5" t="s">
        <v>18</v>
      </c>
      <c r="P171" s="19"/>
      <c r="Q171" s="127"/>
      <c r="R171" s="5"/>
    </row>
    <row r="172" spans="1:18">
      <c r="B172" s="6"/>
      <c r="C172" s="126"/>
      <c r="D172" s="126"/>
      <c r="E172" s="126"/>
      <c r="F172" s="126"/>
      <c r="G172" s="122"/>
      <c r="H172" s="122"/>
      <c r="I172" s="122"/>
      <c r="J172" s="122"/>
      <c r="K172" s="122"/>
      <c r="L172" s="126"/>
      <c r="N172" s="127"/>
      <c r="O172" s="5"/>
      <c r="P172" s="19"/>
      <c r="Q172" s="127"/>
      <c r="R172" s="5"/>
    </row>
    <row r="173" spans="1:18" ht="15.75">
      <c r="B173" s="7" t="s">
        <v>165</v>
      </c>
      <c r="C173" s="126">
        <f>C11</f>
        <v>1</v>
      </c>
      <c r="D173" s="126" t="s">
        <v>2</v>
      </c>
      <c r="E173" s="126">
        <v>0.78500000000000003</v>
      </c>
      <c r="F173" s="126" t="s">
        <v>2</v>
      </c>
      <c r="G173" s="122">
        <v>20</v>
      </c>
      <c r="H173" s="122" t="s">
        <v>2</v>
      </c>
      <c r="I173" s="122">
        <f>G173</f>
        <v>20</v>
      </c>
      <c r="J173" s="122" t="s">
        <v>2</v>
      </c>
      <c r="K173" s="122">
        <v>12</v>
      </c>
      <c r="L173" s="126"/>
      <c r="M173" t="s">
        <v>3</v>
      </c>
      <c r="N173" s="29">
        <f>K173*I173*G173*E173*C173</f>
        <v>3768</v>
      </c>
      <c r="O173" s="5" t="s">
        <v>18</v>
      </c>
      <c r="P173" s="19"/>
      <c r="Q173" s="127"/>
      <c r="R173" s="5"/>
    </row>
    <row r="174" spans="1:18" ht="15.75">
      <c r="B174" s="7"/>
      <c r="C174" s="126"/>
      <c r="D174" s="126"/>
      <c r="E174" s="126"/>
      <c r="F174" s="126"/>
      <c r="G174" s="122"/>
      <c r="H174" s="122"/>
      <c r="I174" s="122"/>
      <c r="J174" s="122"/>
      <c r="K174" s="122"/>
      <c r="L174" s="126"/>
      <c r="N174" s="29"/>
      <c r="O174" s="5"/>
      <c r="P174" s="19"/>
      <c r="Q174" s="127"/>
      <c r="R174" s="5"/>
    </row>
    <row r="175" spans="1:18" ht="14.25">
      <c r="B175" s="123" t="s">
        <v>166</v>
      </c>
      <c r="C175" s="126">
        <f>C13</f>
        <v>2</v>
      </c>
      <c r="D175" s="126" t="s">
        <v>2</v>
      </c>
      <c r="E175" s="126">
        <v>0.78500000000000003</v>
      </c>
      <c r="F175" s="126" t="s">
        <v>2</v>
      </c>
      <c r="G175" s="122">
        <v>15</v>
      </c>
      <c r="H175" s="122" t="s">
        <v>2</v>
      </c>
      <c r="I175" s="122">
        <f>G175</f>
        <v>15</v>
      </c>
      <c r="J175" s="122" t="s">
        <v>2</v>
      </c>
      <c r="K175" s="122">
        <v>12</v>
      </c>
      <c r="L175" s="126"/>
      <c r="M175" t="s">
        <v>3</v>
      </c>
      <c r="N175" s="29">
        <f>K175*I175*G175*E175*C175</f>
        <v>4239</v>
      </c>
      <c r="O175" s="5" t="s">
        <v>18</v>
      </c>
      <c r="P175" s="19"/>
      <c r="Q175" s="127"/>
      <c r="R175" s="5"/>
    </row>
    <row r="176" spans="1:18" s="193" customFormat="1" ht="14.25">
      <c r="A176" s="195"/>
      <c r="B176" s="194" t="s">
        <v>211</v>
      </c>
      <c r="C176" s="195">
        <f>C15</f>
        <v>10</v>
      </c>
      <c r="D176" s="195" t="s">
        <v>2</v>
      </c>
      <c r="E176" s="195">
        <v>0.78500000000000003</v>
      </c>
      <c r="F176" s="195" t="s">
        <v>2</v>
      </c>
      <c r="G176" s="196">
        <v>10</v>
      </c>
      <c r="H176" s="196" t="s">
        <v>2</v>
      </c>
      <c r="I176" s="196">
        <f>G176</f>
        <v>10</v>
      </c>
      <c r="J176" s="196" t="s">
        <v>2</v>
      </c>
      <c r="K176" s="196">
        <v>8</v>
      </c>
      <c r="L176" s="195"/>
      <c r="M176" s="193" t="s">
        <v>3</v>
      </c>
      <c r="N176" s="197">
        <f>K176*I176*G176*E176*C176</f>
        <v>6280</v>
      </c>
      <c r="O176" s="198" t="s">
        <v>18</v>
      </c>
      <c r="P176" s="199"/>
      <c r="Q176" s="200"/>
      <c r="R176" s="198"/>
    </row>
    <row r="177" spans="1:18" ht="17.25" customHeight="1">
      <c r="B177" s="16" t="s">
        <v>73</v>
      </c>
      <c r="C177" s="126"/>
      <c r="D177" s="126"/>
      <c r="E177" s="126"/>
      <c r="F177" s="126"/>
      <c r="G177" s="122"/>
      <c r="H177" s="122"/>
      <c r="I177" s="122"/>
      <c r="J177" s="122"/>
      <c r="K177" s="122"/>
      <c r="L177" s="126"/>
      <c r="N177" s="127"/>
      <c r="O177" s="5"/>
      <c r="P177" s="19"/>
      <c r="Q177" s="127"/>
      <c r="R177" s="5"/>
    </row>
    <row r="178" spans="1:18" ht="18" customHeight="1">
      <c r="B178" s="7" t="s">
        <v>162</v>
      </c>
      <c r="C178" s="126">
        <f>C169</f>
        <v>4</v>
      </c>
      <c r="D178" s="126" t="s">
        <v>2</v>
      </c>
      <c r="E178" s="126">
        <v>0.78500000000000003</v>
      </c>
      <c r="F178" s="126" t="s">
        <v>2</v>
      </c>
      <c r="G178" s="122">
        <v>30</v>
      </c>
      <c r="H178" s="122" t="s">
        <v>2</v>
      </c>
      <c r="I178" s="122">
        <f>G178</f>
        <v>30</v>
      </c>
      <c r="J178" s="122" t="s">
        <v>2</v>
      </c>
      <c r="K178" s="122">
        <v>10</v>
      </c>
      <c r="L178" s="126"/>
      <c r="M178" t="s">
        <v>3</v>
      </c>
      <c r="N178" s="29">
        <f>K178*I178*G178*E178*C178</f>
        <v>28260</v>
      </c>
      <c r="O178" s="5" t="s">
        <v>18</v>
      </c>
      <c r="P178" s="19"/>
      <c r="Q178" s="127"/>
      <c r="R178" s="5"/>
    </row>
    <row r="179" spans="1:18" ht="18" customHeight="1">
      <c r="B179" s="7" t="s">
        <v>164</v>
      </c>
      <c r="C179" s="126">
        <f>C171</f>
        <v>8</v>
      </c>
      <c r="D179" s="126" t="s">
        <v>2</v>
      </c>
      <c r="E179" s="126">
        <v>0.78500000000000003</v>
      </c>
      <c r="F179" s="126" t="s">
        <v>2</v>
      </c>
      <c r="G179" s="122">
        <v>25</v>
      </c>
      <c r="H179" s="122" t="s">
        <v>2</v>
      </c>
      <c r="I179" s="122">
        <f>G179</f>
        <v>25</v>
      </c>
      <c r="J179" s="122" t="s">
        <v>2</v>
      </c>
      <c r="K179" s="122">
        <v>10</v>
      </c>
      <c r="L179" s="126"/>
      <c r="M179" t="s">
        <v>3</v>
      </c>
      <c r="N179" s="29">
        <f>K179*I179*G179*E179*C179</f>
        <v>39250</v>
      </c>
      <c r="O179" s="5" t="s">
        <v>18</v>
      </c>
      <c r="P179" s="19"/>
      <c r="Q179" s="127"/>
      <c r="R179" s="5"/>
    </row>
    <row r="180" spans="1:18" ht="18" customHeight="1">
      <c r="B180" s="7" t="s">
        <v>165</v>
      </c>
      <c r="C180" s="126">
        <f>C173</f>
        <v>1</v>
      </c>
      <c r="D180" s="126" t="s">
        <v>2</v>
      </c>
      <c r="E180" s="126">
        <v>0.78500000000000003</v>
      </c>
      <c r="F180" s="126" t="s">
        <v>2</v>
      </c>
      <c r="G180" s="122">
        <v>20</v>
      </c>
      <c r="H180" s="122" t="s">
        <v>2</v>
      </c>
      <c r="I180" s="122">
        <f>G180</f>
        <v>20</v>
      </c>
      <c r="J180" s="122" t="s">
        <v>2</v>
      </c>
      <c r="K180" s="122">
        <v>10</v>
      </c>
      <c r="L180" s="126"/>
      <c r="M180" t="s">
        <v>3</v>
      </c>
      <c r="N180" s="29">
        <f>K180*I180*G180*E180*C180</f>
        <v>3140</v>
      </c>
      <c r="O180" s="5" t="s">
        <v>18</v>
      </c>
      <c r="P180" s="19"/>
      <c r="Q180" s="127"/>
      <c r="R180" s="5"/>
    </row>
    <row r="181" spans="1:18" ht="18" customHeight="1">
      <c r="B181" s="123" t="s">
        <v>166</v>
      </c>
      <c r="C181" s="126">
        <v>2</v>
      </c>
      <c r="D181" s="126" t="s">
        <v>2</v>
      </c>
      <c r="E181" s="126">
        <v>0.78500000000000003</v>
      </c>
      <c r="F181" s="126" t="s">
        <v>2</v>
      </c>
      <c r="G181" s="122">
        <v>15</v>
      </c>
      <c r="H181" s="122" t="s">
        <v>2</v>
      </c>
      <c r="I181" s="122">
        <f>G181</f>
        <v>15</v>
      </c>
      <c r="J181" s="122" t="s">
        <v>2</v>
      </c>
      <c r="K181" s="122">
        <v>10</v>
      </c>
      <c r="L181" s="126"/>
      <c r="M181" t="s">
        <v>3</v>
      </c>
      <c r="N181" s="29">
        <f>K181*I181*G181*E181*C181/2</f>
        <v>1766.25</v>
      </c>
      <c r="O181" s="5" t="s">
        <v>18</v>
      </c>
      <c r="P181" s="19"/>
      <c r="Q181" s="127"/>
      <c r="R181" s="5"/>
    </row>
    <row r="182" spans="1:18" ht="18" customHeight="1">
      <c r="B182" s="123" t="s">
        <v>211</v>
      </c>
      <c r="C182" s="184">
        <f>C176</f>
        <v>10</v>
      </c>
      <c r="D182" s="184" t="s">
        <v>2</v>
      </c>
      <c r="E182" s="184">
        <v>0.78500000000000003</v>
      </c>
      <c r="F182" s="184" t="s">
        <v>2</v>
      </c>
      <c r="G182" s="187">
        <v>10</v>
      </c>
      <c r="H182" s="187" t="s">
        <v>2</v>
      </c>
      <c r="I182" s="187">
        <f>G182</f>
        <v>10</v>
      </c>
      <c r="J182" s="187" t="s">
        <v>2</v>
      </c>
      <c r="K182" s="187">
        <v>4</v>
      </c>
      <c r="L182" s="184"/>
      <c r="M182" t="s">
        <v>3</v>
      </c>
      <c r="N182" s="159">
        <f>K182*I182*G182*E182*C182</f>
        <v>3140</v>
      </c>
      <c r="O182" s="5" t="s">
        <v>18</v>
      </c>
      <c r="P182" s="19"/>
      <c r="Q182" s="186"/>
      <c r="R182" s="5"/>
    </row>
    <row r="183" spans="1:18">
      <c r="C183" s="126"/>
      <c r="D183" s="126"/>
      <c r="E183" s="126"/>
      <c r="F183" s="126"/>
      <c r="G183" s="126"/>
      <c r="H183" s="126"/>
      <c r="I183" s="126"/>
      <c r="J183" s="126"/>
      <c r="K183" s="126"/>
      <c r="L183" s="126"/>
      <c r="N183" s="51">
        <f>SUM(N169:N182)</f>
        <v>170855.25</v>
      </c>
      <c r="O183" s="53" t="s">
        <v>18</v>
      </c>
      <c r="P183" s="19"/>
      <c r="Q183" s="127"/>
      <c r="R183" s="5"/>
    </row>
    <row r="184" spans="1:18" ht="18" customHeight="1">
      <c r="B184" s="56">
        <f>N183</f>
        <v>170855.25</v>
      </c>
      <c r="C184" s="126" t="str">
        <f>O183</f>
        <v>Cft.</v>
      </c>
      <c r="D184" s="126"/>
      <c r="E184" s="126"/>
      <c r="F184" s="126"/>
      <c r="G184" s="126"/>
      <c r="H184" s="126"/>
      <c r="I184" s="126"/>
      <c r="J184" s="126"/>
      <c r="K184" s="126"/>
      <c r="L184" s="126"/>
      <c r="M184" s="130" t="s">
        <v>17</v>
      </c>
      <c r="N184" s="132">
        <v>543</v>
      </c>
      <c r="O184" s="19" t="s">
        <v>12</v>
      </c>
      <c r="P184" s="127" t="s">
        <v>16</v>
      </c>
      <c r="Q184" s="10">
        <f>N184*B184/100</f>
        <v>927744.00749999995</v>
      </c>
      <c r="R184" s="5"/>
    </row>
    <row r="185" spans="1:18" ht="15.75">
      <c r="A185" s="267">
        <v>8</v>
      </c>
      <c r="B185" s="21" t="s">
        <v>74</v>
      </c>
      <c r="C185" s="126"/>
      <c r="D185" s="126"/>
      <c r="E185" s="126"/>
      <c r="F185" s="126"/>
      <c r="G185" s="126"/>
      <c r="H185" s="126"/>
      <c r="I185" s="126"/>
      <c r="J185" s="126"/>
      <c r="K185" s="126"/>
      <c r="L185" s="126"/>
      <c r="N185" s="29"/>
      <c r="O185" s="5"/>
      <c r="P185" s="19"/>
      <c r="Q185" s="127"/>
      <c r="R185" s="5"/>
    </row>
    <row r="186" spans="1:18" ht="15.75">
      <c r="B186" s="21" t="s">
        <v>75</v>
      </c>
      <c r="C186" s="126"/>
      <c r="D186" s="126"/>
      <c r="E186" s="126"/>
      <c r="F186" s="126"/>
      <c r="G186" s="126"/>
      <c r="H186" s="126"/>
      <c r="I186" s="126"/>
      <c r="J186" s="126"/>
      <c r="K186" s="126"/>
      <c r="L186" s="126"/>
      <c r="N186" s="29"/>
      <c r="O186" s="5"/>
      <c r="P186" s="19"/>
      <c r="Q186" s="127"/>
      <c r="R186" s="5"/>
    </row>
    <row r="187" spans="1:18" ht="15.75">
      <c r="B187" s="21" t="s">
        <v>126</v>
      </c>
      <c r="C187" s="126"/>
      <c r="D187" s="126"/>
      <c r="E187" s="126"/>
      <c r="F187" s="126"/>
      <c r="G187" s="126"/>
      <c r="H187" s="126"/>
      <c r="I187" s="126"/>
      <c r="J187" s="126"/>
      <c r="K187" s="126"/>
      <c r="L187" s="126"/>
      <c r="N187" s="29"/>
      <c r="O187" s="5"/>
      <c r="P187" s="19"/>
      <c r="Q187" s="127"/>
      <c r="R187" s="5"/>
    </row>
    <row r="188" spans="1:18" ht="19.5" customHeight="1">
      <c r="B188" s="7" t="s">
        <v>162</v>
      </c>
      <c r="C188" s="207">
        <f>C7</f>
        <v>4</v>
      </c>
      <c r="D188" s="188" t="s">
        <v>2</v>
      </c>
      <c r="E188" s="31">
        <v>3</v>
      </c>
      <c r="F188" s="126" t="s">
        <v>2</v>
      </c>
      <c r="G188" s="126">
        <v>3.14</v>
      </c>
      <c r="H188" s="126" t="s">
        <v>2</v>
      </c>
      <c r="I188" s="122">
        <v>31</v>
      </c>
      <c r="J188" s="126" t="s">
        <v>15</v>
      </c>
      <c r="K188" s="126" t="s">
        <v>15</v>
      </c>
      <c r="L188" s="126" t="s">
        <v>15</v>
      </c>
      <c r="M188" t="s">
        <v>3</v>
      </c>
      <c r="N188" s="29">
        <f t="shared" ref="N188:N192" si="0">I188*G188*E188*C188</f>
        <v>1168.08</v>
      </c>
      <c r="O188" s="5" t="s">
        <v>69</v>
      </c>
      <c r="P188" s="19"/>
      <c r="Q188" s="127"/>
      <c r="R188" s="5"/>
    </row>
    <row r="189" spans="1:18" ht="19.5" customHeight="1">
      <c r="B189" s="7" t="s">
        <v>164</v>
      </c>
      <c r="C189" s="207">
        <f>C9</f>
        <v>8</v>
      </c>
      <c r="D189" s="188" t="s">
        <v>2</v>
      </c>
      <c r="E189" s="31">
        <v>3</v>
      </c>
      <c r="F189" s="126" t="s">
        <v>2</v>
      </c>
      <c r="G189" s="126">
        <v>3.14</v>
      </c>
      <c r="H189" s="126" t="s">
        <v>2</v>
      </c>
      <c r="I189" s="122">
        <v>26</v>
      </c>
      <c r="J189" s="126" t="s">
        <v>15</v>
      </c>
      <c r="K189" s="126" t="s">
        <v>15</v>
      </c>
      <c r="L189" s="126" t="s">
        <v>15</v>
      </c>
      <c r="M189" t="s">
        <v>3</v>
      </c>
      <c r="N189" s="29">
        <f t="shared" si="0"/>
        <v>1959.3600000000001</v>
      </c>
      <c r="O189" s="5" t="s">
        <v>69</v>
      </c>
      <c r="P189" s="19"/>
      <c r="Q189" s="127"/>
      <c r="R189" s="5"/>
    </row>
    <row r="190" spans="1:18" ht="19.5" customHeight="1">
      <c r="B190" s="7" t="s">
        <v>165</v>
      </c>
      <c r="C190" s="207">
        <f>C11</f>
        <v>1</v>
      </c>
      <c r="D190" s="188" t="s">
        <v>2</v>
      </c>
      <c r="E190" s="31">
        <v>3</v>
      </c>
      <c r="F190" s="126" t="s">
        <v>2</v>
      </c>
      <c r="G190" s="126">
        <v>3.14</v>
      </c>
      <c r="H190" s="126" t="s">
        <v>2</v>
      </c>
      <c r="I190" s="122">
        <v>21</v>
      </c>
      <c r="J190" s="126" t="s">
        <v>15</v>
      </c>
      <c r="K190" s="126" t="s">
        <v>15</v>
      </c>
      <c r="L190" s="126" t="s">
        <v>15</v>
      </c>
      <c r="M190" t="s">
        <v>3</v>
      </c>
      <c r="N190" s="29">
        <f t="shared" si="0"/>
        <v>197.82</v>
      </c>
      <c r="O190" s="5" t="s">
        <v>69</v>
      </c>
      <c r="P190" s="19"/>
      <c r="Q190" s="127"/>
      <c r="R190" s="5"/>
    </row>
    <row r="191" spans="1:18" ht="19.5" customHeight="1">
      <c r="B191" s="123" t="s">
        <v>166</v>
      </c>
      <c r="C191" s="207">
        <f>C181</f>
        <v>2</v>
      </c>
      <c r="D191" s="188" t="s">
        <v>2</v>
      </c>
      <c r="E191" s="31">
        <v>3</v>
      </c>
      <c r="F191" s="126" t="s">
        <v>2</v>
      </c>
      <c r="G191" s="126">
        <v>3.14</v>
      </c>
      <c r="H191" s="126" t="s">
        <v>2</v>
      </c>
      <c r="I191" s="122">
        <v>16</v>
      </c>
      <c r="J191" s="126" t="s">
        <v>15</v>
      </c>
      <c r="K191" s="126" t="s">
        <v>15</v>
      </c>
      <c r="L191" s="126" t="s">
        <v>15</v>
      </c>
      <c r="M191" t="s">
        <v>3</v>
      </c>
      <c r="N191" s="159">
        <f t="shared" si="0"/>
        <v>301.44</v>
      </c>
      <c r="O191" s="5" t="s">
        <v>69</v>
      </c>
      <c r="P191" s="19"/>
      <c r="Q191" s="127"/>
      <c r="R191" s="5"/>
    </row>
    <row r="192" spans="1:18" ht="19.5" customHeight="1">
      <c r="B192" s="123" t="s">
        <v>211</v>
      </c>
      <c r="C192" s="207">
        <f>C182</f>
        <v>10</v>
      </c>
      <c r="D192" s="188" t="s">
        <v>2</v>
      </c>
      <c r="E192" s="31">
        <v>2</v>
      </c>
      <c r="F192" s="184" t="s">
        <v>2</v>
      </c>
      <c r="G192" s="184">
        <v>3.14</v>
      </c>
      <c r="H192" s="184" t="s">
        <v>2</v>
      </c>
      <c r="I192" s="187">
        <v>11</v>
      </c>
      <c r="J192" s="184" t="s">
        <v>15</v>
      </c>
      <c r="K192" s="184" t="s">
        <v>15</v>
      </c>
      <c r="L192" s="184" t="s">
        <v>15</v>
      </c>
      <c r="M192" t="s">
        <v>3</v>
      </c>
      <c r="N192" s="120">
        <f t="shared" si="0"/>
        <v>690.8</v>
      </c>
      <c r="O192" s="5" t="s">
        <v>69</v>
      </c>
      <c r="P192" s="19"/>
      <c r="Q192" s="186"/>
      <c r="R192" s="5"/>
    </row>
    <row r="193" spans="1:18" ht="15.75">
      <c r="B193" s="21"/>
      <c r="C193" s="126"/>
      <c r="D193" s="126"/>
      <c r="E193" s="126"/>
      <c r="F193" s="126"/>
      <c r="G193" s="126"/>
      <c r="H193" s="126"/>
      <c r="I193" s="126"/>
      <c r="J193" s="126"/>
      <c r="K193" s="126"/>
      <c r="L193" s="126"/>
      <c r="N193" s="29">
        <v>3215.2</v>
      </c>
      <c r="O193" s="25" t="s">
        <v>69</v>
      </c>
      <c r="P193" s="19"/>
      <c r="Q193" s="127"/>
      <c r="R193" s="5"/>
    </row>
    <row r="194" spans="1:18">
      <c r="B194" s="56">
        <f>N193</f>
        <v>3215.2</v>
      </c>
      <c r="C194" s="129" t="s">
        <v>180</v>
      </c>
      <c r="D194" s="126"/>
      <c r="E194" s="126"/>
      <c r="F194" s="126"/>
      <c r="G194" s="126"/>
      <c r="H194" s="126"/>
      <c r="I194" s="126"/>
      <c r="J194" s="126"/>
      <c r="K194" s="126"/>
      <c r="L194" s="126"/>
      <c r="M194" s="29" t="str">
        <f>M184</f>
        <v xml:space="preserve"> @Rs:</v>
      </c>
      <c r="N194" s="13">
        <v>86</v>
      </c>
      <c r="O194" s="19" t="s">
        <v>70</v>
      </c>
      <c r="P194" s="127" t="s">
        <v>16</v>
      </c>
      <c r="Q194" s="10">
        <f>N194*B194</f>
        <v>276507.2</v>
      </c>
      <c r="R194" s="5"/>
    </row>
    <row r="195" spans="1:18" ht="15.75">
      <c r="A195" s="267">
        <v>9</v>
      </c>
      <c r="B195" s="21" t="s">
        <v>76</v>
      </c>
      <c r="C195" s="1"/>
      <c r="D195" s="1"/>
      <c r="E195" s="1"/>
      <c r="F195" s="1"/>
      <c r="G195" s="1"/>
      <c r="H195" s="1"/>
      <c r="I195" s="1"/>
      <c r="J195" s="1"/>
      <c r="K195" s="1"/>
      <c r="L195" s="1"/>
      <c r="N195" s="9"/>
      <c r="O195" s="5"/>
      <c r="P195" s="19"/>
      <c r="Q195" s="9"/>
      <c r="R195" s="5"/>
    </row>
    <row r="196" spans="1:18" ht="15.75">
      <c r="B196" s="21" t="s">
        <v>77</v>
      </c>
      <c r="C196" s="1"/>
      <c r="D196" s="1"/>
      <c r="E196" s="1"/>
      <c r="F196" s="1"/>
      <c r="G196" s="1"/>
      <c r="H196" s="1"/>
      <c r="I196" s="1"/>
      <c r="J196" s="1"/>
      <c r="K196" s="1"/>
      <c r="L196" s="1"/>
      <c r="N196" s="9"/>
      <c r="O196" s="5"/>
      <c r="P196" s="19"/>
      <c r="Q196" s="9"/>
      <c r="R196" s="5"/>
    </row>
    <row r="197" spans="1:18" ht="15.75">
      <c r="B197" s="21" t="s">
        <v>127</v>
      </c>
      <c r="C197" s="1"/>
      <c r="D197" s="1"/>
      <c r="E197" s="1"/>
      <c r="F197" s="1"/>
      <c r="G197" s="1"/>
      <c r="H197" s="1"/>
      <c r="I197" s="1"/>
      <c r="J197" s="1"/>
      <c r="K197" s="1"/>
      <c r="L197" s="1"/>
      <c r="N197" s="9"/>
      <c r="O197" s="5"/>
      <c r="P197" s="19"/>
      <c r="Q197" s="9"/>
      <c r="R197" s="5"/>
    </row>
    <row r="198" spans="1:18">
      <c r="B198" s="133" t="s">
        <v>212</v>
      </c>
      <c r="C198" s="1">
        <v>1</v>
      </c>
      <c r="D198" s="1" t="s">
        <v>2</v>
      </c>
      <c r="E198" s="128">
        <v>2.5</v>
      </c>
      <c r="F198" s="1"/>
      <c r="G198" s="1"/>
      <c r="H198" s="1"/>
      <c r="I198" s="1"/>
      <c r="J198" s="1"/>
      <c r="K198" s="1"/>
      <c r="L198" s="1"/>
      <c r="M198" s="18" t="s">
        <v>3</v>
      </c>
      <c r="N198" s="125">
        <f>E198*C198</f>
        <v>2.5</v>
      </c>
      <c r="O198" s="201" t="s">
        <v>9</v>
      </c>
      <c r="P198" s="19"/>
      <c r="Q198" s="9"/>
      <c r="R198" s="5"/>
    </row>
    <row r="199" spans="1:18">
      <c r="C199" s="184"/>
      <c r="D199" s="184"/>
      <c r="E199" s="185"/>
      <c r="F199" s="184"/>
      <c r="G199" s="184"/>
      <c r="H199" s="184"/>
      <c r="I199" s="184"/>
      <c r="J199" s="184"/>
      <c r="K199" s="184"/>
      <c r="L199" s="184"/>
      <c r="M199" s="18"/>
      <c r="N199" s="233">
        <f>SUM(N198:N198)</f>
        <v>2.5</v>
      </c>
      <c r="O199" s="201" t="s">
        <v>9</v>
      </c>
      <c r="P199" s="19"/>
      <c r="Q199" s="186"/>
      <c r="R199" s="5"/>
    </row>
    <row r="200" spans="1:18">
      <c r="B200" s="56">
        <f>N199</f>
        <v>2.5</v>
      </c>
      <c r="C200" s="231" t="s">
        <v>184</v>
      </c>
      <c r="D200" s="1"/>
      <c r="E200" s="1"/>
      <c r="F200" s="1"/>
      <c r="G200" s="1"/>
      <c r="H200" s="1"/>
      <c r="I200" s="1"/>
      <c r="J200" s="1"/>
      <c r="K200" s="1"/>
      <c r="L200" s="124" t="s">
        <v>178</v>
      </c>
      <c r="M200" s="130" t="s">
        <v>5</v>
      </c>
      <c r="N200" s="5">
        <v>4928.49</v>
      </c>
      <c r="O200" s="19" t="s">
        <v>60</v>
      </c>
      <c r="P200" s="9" t="s">
        <v>16</v>
      </c>
      <c r="Q200" s="10">
        <f>N200*B200</f>
        <v>12321.224999999999</v>
      </c>
    </row>
    <row r="201" spans="1:18" ht="15.75">
      <c r="A201" s="267">
        <v>10</v>
      </c>
      <c r="B201" s="7" t="s">
        <v>78</v>
      </c>
      <c r="C201" s="1"/>
      <c r="D201" s="1"/>
      <c r="E201" s="1"/>
      <c r="F201" s="1"/>
      <c r="G201" s="1"/>
      <c r="H201" s="1"/>
      <c r="I201" s="1"/>
      <c r="J201" s="1"/>
      <c r="K201" s="1"/>
      <c r="L201" s="1"/>
      <c r="N201" s="9"/>
      <c r="O201" s="5"/>
      <c r="P201" s="19"/>
      <c r="Q201" s="9"/>
      <c r="R201" s="5"/>
    </row>
    <row r="202" spans="1:18" ht="15.75">
      <c r="B202" s="7" t="s">
        <v>128</v>
      </c>
      <c r="C202" s="1"/>
      <c r="D202" s="1"/>
      <c r="E202" s="1"/>
      <c r="F202" s="1"/>
      <c r="G202" s="1"/>
      <c r="H202" s="1"/>
      <c r="I202" s="1"/>
      <c r="J202" s="1"/>
      <c r="K202" s="1"/>
      <c r="L202" s="1"/>
      <c r="N202" s="9"/>
      <c r="O202" s="5"/>
      <c r="P202" s="19"/>
      <c r="Q202" s="9"/>
      <c r="R202" s="5"/>
    </row>
    <row r="203" spans="1:18">
      <c r="B203" s="56">
        <f>B200</f>
        <v>2.5</v>
      </c>
      <c r="C203" s="1" t="str">
        <f>C200</f>
        <v>cwt</v>
      </c>
      <c r="D203" s="1"/>
      <c r="E203" s="1"/>
      <c r="F203" s="1"/>
      <c r="G203" s="1"/>
      <c r="H203" s="1"/>
      <c r="I203" s="1"/>
      <c r="J203" s="1"/>
      <c r="K203" s="1"/>
      <c r="L203" s="124" t="s">
        <v>178</v>
      </c>
      <c r="M203" s="29" t="str">
        <f>M200</f>
        <v>Rs</v>
      </c>
      <c r="N203" s="5">
        <v>271.04000000000002</v>
      </c>
      <c r="O203" s="19" t="s">
        <v>60</v>
      </c>
      <c r="P203" s="9" t="s">
        <v>16</v>
      </c>
      <c r="Q203" s="10">
        <f>N203*B203</f>
        <v>677.6</v>
      </c>
    </row>
    <row r="204" spans="1:18" ht="15.75">
      <c r="A204" s="267">
        <v>11</v>
      </c>
      <c r="B204" s="7" t="s">
        <v>79</v>
      </c>
      <c r="C204" s="1"/>
      <c r="D204" s="1"/>
      <c r="E204" s="1"/>
      <c r="F204" s="1"/>
      <c r="G204" s="1"/>
      <c r="H204" s="1"/>
      <c r="I204" s="1"/>
      <c r="J204" s="1"/>
      <c r="K204" s="1"/>
      <c r="L204" s="1"/>
      <c r="N204" s="9"/>
      <c r="O204" s="5"/>
      <c r="P204" s="19"/>
      <c r="Q204" s="9"/>
      <c r="R204" s="5"/>
    </row>
    <row r="205" spans="1:18" ht="15.75">
      <c r="B205" s="7" t="s">
        <v>80</v>
      </c>
      <c r="C205" s="1"/>
      <c r="D205" s="1"/>
      <c r="E205" s="1"/>
      <c r="F205" s="1"/>
      <c r="G205" s="1"/>
      <c r="H205" s="1"/>
      <c r="I205" s="1"/>
      <c r="J205" s="1"/>
      <c r="K205" s="1"/>
      <c r="L205" s="1"/>
      <c r="N205" s="9"/>
      <c r="O205" s="5"/>
      <c r="P205" s="19"/>
      <c r="Q205" s="9"/>
      <c r="R205" s="5"/>
    </row>
    <row r="206" spans="1:18" ht="15.75">
      <c r="B206" s="7" t="s">
        <v>81</v>
      </c>
      <c r="C206" s="1"/>
      <c r="D206" s="1"/>
      <c r="E206" s="1"/>
      <c r="F206" s="1"/>
      <c r="G206" s="1"/>
      <c r="H206" s="1"/>
      <c r="I206" s="1"/>
      <c r="J206" s="1"/>
      <c r="K206" s="1"/>
      <c r="L206" s="1"/>
      <c r="N206" s="9"/>
      <c r="O206" s="5"/>
      <c r="P206" s="19"/>
      <c r="Q206" s="9"/>
      <c r="R206" s="5"/>
    </row>
    <row r="207" spans="1:18" ht="15.75">
      <c r="B207" s="7" t="s">
        <v>82</v>
      </c>
      <c r="C207" s="1"/>
      <c r="D207" s="1"/>
      <c r="E207" s="1"/>
      <c r="F207" s="1"/>
      <c r="G207" s="1"/>
      <c r="H207" s="1"/>
      <c r="I207" s="1"/>
      <c r="J207" s="1"/>
      <c r="K207" s="1"/>
      <c r="L207" s="1"/>
      <c r="N207" s="9"/>
      <c r="O207" s="5"/>
      <c r="P207" s="19"/>
      <c r="Q207" s="9"/>
      <c r="R207" s="5"/>
    </row>
    <row r="208" spans="1:18" ht="15.75">
      <c r="B208" s="7" t="s">
        <v>83</v>
      </c>
      <c r="C208" s="1"/>
      <c r="D208" s="1"/>
      <c r="E208" s="1"/>
      <c r="F208" s="1"/>
      <c r="G208" s="1"/>
      <c r="H208" s="1"/>
      <c r="I208" s="1"/>
      <c r="J208" s="1"/>
      <c r="K208" s="1"/>
      <c r="L208" s="1"/>
      <c r="N208" s="9"/>
      <c r="O208" s="5"/>
      <c r="P208" s="19"/>
      <c r="Q208" s="9"/>
      <c r="R208" s="5"/>
    </row>
    <row r="209" spans="1:18" ht="15.75">
      <c r="B209" s="7" t="s">
        <v>84</v>
      </c>
      <c r="C209" s="1"/>
      <c r="D209" s="1"/>
      <c r="E209" s="1"/>
      <c r="F209" s="1"/>
      <c r="G209" s="1"/>
      <c r="H209" s="1"/>
      <c r="I209" s="1"/>
      <c r="J209" s="1"/>
      <c r="K209" s="1"/>
      <c r="L209" s="1"/>
      <c r="N209" s="9"/>
      <c r="O209" s="5"/>
      <c r="P209" s="19"/>
      <c r="Q209" s="9"/>
      <c r="R209" s="5"/>
    </row>
    <row r="210" spans="1:18" ht="15.75">
      <c r="B210" s="7" t="s">
        <v>129</v>
      </c>
      <c r="C210" s="1"/>
      <c r="D210" s="1"/>
      <c r="E210" s="1"/>
      <c r="F210" s="1"/>
      <c r="G210" s="1"/>
      <c r="H210" s="1"/>
      <c r="I210" s="1"/>
      <c r="J210" s="1"/>
      <c r="K210" s="1"/>
      <c r="L210" s="1"/>
      <c r="N210" s="9"/>
      <c r="O210" s="5"/>
      <c r="P210" s="19"/>
      <c r="Q210" s="9"/>
      <c r="R210" s="5"/>
    </row>
    <row r="211" spans="1:18">
      <c r="B211" s="60" t="s">
        <v>85</v>
      </c>
      <c r="C211" s="1"/>
      <c r="D211" s="1"/>
      <c r="E211" s="122"/>
      <c r="F211" s="122"/>
      <c r="G211" s="122"/>
      <c r="H211" s="122"/>
      <c r="I211" s="122"/>
      <c r="J211" s="1"/>
      <c r="K211" s="1"/>
      <c r="L211" s="1"/>
      <c r="N211" s="136"/>
      <c r="O211" s="5"/>
      <c r="P211" s="19"/>
      <c r="Q211" s="9"/>
      <c r="R211" s="5"/>
    </row>
    <row r="212" spans="1:18">
      <c r="B212" s="189" t="s">
        <v>193</v>
      </c>
      <c r="C212" s="184">
        <v>8</v>
      </c>
      <c r="D212" s="184" t="s">
        <v>2</v>
      </c>
      <c r="E212" s="187">
        <v>14</v>
      </c>
      <c r="F212" s="184" t="s">
        <v>2</v>
      </c>
      <c r="G212" s="187">
        <v>4</v>
      </c>
      <c r="H212" s="187" t="s">
        <v>2</v>
      </c>
      <c r="I212" s="187">
        <v>5</v>
      </c>
      <c r="J212" s="184" t="s">
        <v>15</v>
      </c>
      <c r="K212" s="184"/>
      <c r="L212" s="184"/>
      <c r="M212" t="s">
        <v>3</v>
      </c>
      <c r="N212" s="136">
        <f>I212*G212*E212*C212</f>
        <v>2240</v>
      </c>
      <c r="O212" s="5" t="s">
        <v>18</v>
      </c>
      <c r="P212" s="19"/>
      <c r="Q212" s="186"/>
      <c r="R212" s="5"/>
    </row>
    <row r="213" spans="1:18">
      <c r="B213" s="189" t="s">
        <v>194</v>
      </c>
      <c r="C213" s="184">
        <v>6</v>
      </c>
      <c r="D213" s="184" t="s">
        <v>2</v>
      </c>
      <c r="E213" s="187">
        <f>E212</f>
        <v>14</v>
      </c>
      <c r="F213" s="184" t="s">
        <v>2</v>
      </c>
      <c r="G213" s="185">
        <v>3.5</v>
      </c>
      <c r="H213" s="187" t="s">
        <v>2</v>
      </c>
      <c r="I213" s="187">
        <v>5</v>
      </c>
      <c r="J213" s="184" t="s">
        <v>15</v>
      </c>
      <c r="K213" s="184"/>
      <c r="L213" s="184"/>
      <c r="M213" t="s">
        <v>3</v>
      </c>
      <c r="N213" s="136">
        <f t="shared" ref="N213" si="1">I213*G213*E213*C213</f>
        <v>1470</v>
      </c>
      <c r="O213" s="5" t="s">
        <v>18</v>
      </c>
      <c r="P213" s="19"/>
      <c r="Q213" s="186"/>
      <c r="R213" s="5"/>
    </row>
    <row r="214" spans="1:18">
      <c r="B214" s="60"/>
      <c r="C214" s="184"/>
      <c r="D214" s="184"/>
      <c r="E214" s="187"/>
      <c r="F214" s="184"/>
      <c r="G214" s="187"/>
      <c r="H214" s="187"/>
      <c r="I214" s="187"/>
      <c r="J214" s="184"/>
      <c r="K214" s="184"/>
      <c r="L214" s="184"/>
      <c r="N214" s="202">
        <f>SUM(N212:N213)</f>
        <v>3710</v>
      </c>
      <c r="O214" s="25" t="s">
        <v>18</v>
      </c>
      <c r="P214" s="19"/>
      <c r="Q214" s="105"/>
      <c r="R214" s="5"/>
    </row>
    <row r="215" spans="1:18">
      <c r="B215" s="56">
        <f>N214</f>
        <v>3710</v>
      </c>
      <c r="C215" s="210" t="s">
        <v>167</v>
      </c>
      <c r="D215" s="1"/>
      <c r="E215" s="1"/>
      <c r="F215" s="1"/>
      <c r="G215" s="1"/>
      <c r="H215" s="1"/>
      <c r="I215" s="1"/>
      <c r="J215" s="1"/>
      <c r="K215" s="1"/>
      <c r="L215" s="124" t="s">
        <v>178</v>
      </c>
      <c r="M215" s="29" t="str">
        <f>M203</f>
        <v>Rs</v>
      </c>
      <c r="N215" s="132">
        <v>3600</v>
      </c>
      <c r="O215" s="19" t="s">
        <v>86</v>
      </c>
      <c r="P215" s="9" t="s">
        <v>16</v>
      </c>
      <c r="Q215" s="10">
        <f>N215*B215/1000</f>
        <v>13356</v>
      </c>
    </row>
    <row r="216" spans="1:18" ht="8.25" customHeight="1">
      <c r="B216" s="56"/>
      <c r="C216" s="126"/>
      <c r="D216" s="126"/>
      <c r="E216" s="126"/>
      <c r="F216" s="126"/>
      <c r="G216" s="126"/>
      <c r="H216" s="126"/>
      <c r="I216" s="126"/>
      <c r="J216" s="126"/>
      <c r="K216" s="126"/>
      <c r="L216" s="126"/>
      <c r="M216" s="29"/>
      <c r="N216" s="5"/>
      <c r="O216" s="19"/>
      <c r="P216" s="127"/>
      <c r="Q216" s="10"/>
    </row>
    <row r="217" spans="1:18" ht="8.25" customHeight="1">
      <c r="B217" s="56"/>
      <c r="C217" s="249"/>
      <c r="D217" s="249"/>
      <c r="E217" s="249"/>
      <c r="F217" s="249"/>
      <c r="G217" s="249"/>
      <c r="H217" s="249"/>
      <c r="I217" s="249"/>
      <c r="J217" s="249"/>
      <c r="K217" s="249"/>
      <c r="L217" s="249"/>
      <c r="M217" s="29"/>
      <c r="N217" s="5"/>
      <c r="O217" s="19"/>
      <c r="P217" s="250"/>
      <c r="Q217" s="10"/>
    </row>
    <row r="218" spans="1:18" ht="8.25" customHeight="1">
      <c r="B218" s="56"/>
      <c r="C218" s="249"/>
      <c r="D218" s="249"/>
      <c r="E218" s="249"/>
      <c r="F218" s="249"/>
      <c r="G218" s="249"/>
      <c r="H218" s="249"/>
      <c r="I218" s="249"/>
      <c r="J218" s="249"/>
      <c r="K218" s="249"/>
      <c r="L218" s="249"/>
      <c r="M218" s="29"/>
      <c r="N218" s="5"/>
      <c r="O218" s="19"/>
      <c r="P218" s="250"/>
      <c r="Q218" s="10"/>
    </row>
    <row r="219" spans="1:18" ht="8.25" customHeight="1">
      <c r="B219" s="56"/>
      <c r="C219" s="249"/>
      <c r="D219" s="249"/>
      <c r="E219" s="249"/>
      <c r="F219" s="249"/>
      <c r="G219" s="249"/>
      <c r="H219" s="249"/>
      <c r="I219" s="249"/>
      <c r="J219" s="249"/>
      <c r="K219" s="249"/>
      <c r="L219" s="249"/>
      <c r="M219" s="29"/>
      <c r="N219" s="5"/>
      <c r="O219" s="19"/>
      <c r="P219" s="250"/>
      <c r="Q219" s="10"/>
    </row>
    <row r="220" spans="1:18" ht="8.25" customHeight="1">
      <c r="B220" s="56"/>
      <c r="C220" s="249"/>
      <c r="D220" s="249"/>
      <c r="E220" s="249"/>
      <c r="F220" s="249"/>
      <c r="G220" s="249"/>
      <c r="H220" s="249"/>
      <c r="I220" s="249"/>
      <c r="J220" s="249"/>
      <c r="K220" s="249"/>
      <c r="L220" s="249"/>
      <c r="M220" s="29"/>
      <c r="N220" s="5"/>
      <c r="O220" s="19"/>
      <c r="P220" s="250"/>
      <c r="Q220" s="10"/>
    </row>
    <row r="221" spans="1:18" ht="8.25" customHeight="1">
      <c r="B221" s="56"/>
      <c r="C221" s="249"/>
      <c r="D221" s="249"/>
      <c r="E221" s="249"/>
      <c r="F221" s="249"/>
      <c r="G221" s="249"/>
      <c r="H221" s="249"/>
      <c r="I221" s="249"/>
      <c r="J221" s="249"/>
      <c r="K221" s="249"/>
      <c r="L221" s="249"/>
      <c r="M221" s="29"/>
      <c r="N221" s="5"/>
      <c r="O221" s="19"/>
      <c r="P221" s="250"/>
      <c r="Q221" s="10"/>
    </row>
    <row r="222" spans="1:18" ht="8.25" customHeight="1">
      <c r="B222" s="56"/>
      <c r="C222" s="249"/>
      <c r="D222" s="249"/>
      <c r="E222" s="249"/>
      <c r="F222" s="249"/>
      <c r="G222" s="249"/>
      <c r="H222" s="249"/>
      <c r="I222" s="249"/>
      <c r="J222" s="249"/>
      <c r="K222" s="249"/>
      <c r="L222" s="249"/>
      <c r="M222" s="29"/>
      <c r="N222" s="5"/>
      <c r="O222" s="19"/>
      <c r="P222" s="250"/>
      <c r="Q222" s="10"/>
    </row>
    <row r="223" spans="1:18" ht="15.75">
      <c r="A223" s="267">
        <v>12</v>
      </c>
      <c r="B223" s="7" t="s">
        <v>87</v>
      </c>
      <c r="C223" s="1"/>
      <c r="D223" s="1"/>
      <c r="E223" s="1"/>
      <c r="F223" s="1"/>
      <c r="G223" s="1"/>
      <c r="H223" s="1"/>
      <c r="I223" s="1"/>
      <c r="J223" s="1"/>
      <c r="K223" s="1"/>
      <c r="L223" s="1"/>
      <c r="N223" s="9"/>
      <c r="O223" s="5"/>
      <c r="P223" s="19"/>
      <c r="Q223" s="9"/>
      <c r="R223" s="5"/>
    </row>
    <row r="224" spans="1:18" ht="15.75">
      <c r="B224" s="7" t="s">
        <v>80</v>
      </c>
      <c r="C224" s="1"/>
      <c r="D224" s="1"/>
      <c r="E224" s="1"/>
      <c r="F224" s="1"/>
      <c r="G224" s="1"/>
      <c r="H224" s="1"/>
      <c r="I224" s="1"/>
      <c r="J224" s="1"/>
      <c r="K224" s="1"/>
      <c r="L224" s="1"/>
      <c r="N224" s="9"/>
      <c r="O224" s="5"/>
      <c r="P224" s="19"/>
      <c r="Q224" s="9"/>
      <c r="R224" s="5"/>
    </row>
    <row r="225" spans="1:18" ht="15.75">
      <c r="B225" s="7" t="s">
        <v>81</v>
      </c>
      <c r="C225" s="1"/>
      <c r="D225" s="1"/>
      <c r="E225" s="1"/>
      <c r="F225" s="1"/>
      <c r="G225" s="1"/>
      <c r="H225" s="1"/>
      <c r="I225" s="1"/>
      <c r="J225" s="1"/>
      <c r="K225" s="1"/>
      <c r="L225" s="1"/>
      <c r="N225" s="9"/>
      <c r="O225" s="5"/>
      <c r="P225" s="19"/>
      <c r="Q225" s="9"/>
      <c r="R225" s="5"/>
    </row>
    <row r="226" spans="1:18" ht="15.75">
      <c r="B226" s="7" t="s">
        <v>82</v>
      </c>
      <c r="C226" s="1"/>
      <c r="D226" s="1"/>
      <c r="E226" s="1"/>
      <c r="F226" s="1"/>
      <c r="G226" s="1"/>
      <c r="H226" s="1"/>
      <c r="I226" s="1"/>
      <c r="J226" s="1"/>
      <c r="K226" s="1"/>
      <c r="L226" s="1"/>
      <c r="N226" s="9"/>
      <c r="O226" s="5"/>
      <c r="P226" s="19"/>
      <c r="Q226" s="9"/>
      <c r="R226" s="5"/>
    </row>
    <row r="227" spans="1:18" ht="15.75">
      <c r="B227" s="7" t="s">
        <v>83</v>
      </c>
      <c r="C227" s="1"/>
      <c r="D227" s="1"/>
      <c r="E227" s="1"/>
      <c r="F227" s="1"/>
      <c r="G227" s="1"/>
      <c r="H227" s="1"/>
      <c r="I227" s="1"/>
      <c r="J227" s="1"/>
      <c r="K227" s="1"/>
      <c r="L227" s="1"/>
      <c r="N227" s="9"/>
      <c r="O227" s="5"/>
      <c r="P227" s="19"/>
      <c r="Q227" s="9"/>
      <c r="R227" s="5"/>
    </row>
    <row r="228" spans="1:18" ht="15.75">
      <c r="B228" s="7" t="s">
        <v>84</v>
      </c>
      <c r="C228" s="1"/>
      <c r="D228" s="1"/>
      <c r="E228" s="1"/>
      <c r="F228" s="1"/>
      <c r="G228" s="1"/>
      <c r="H228" s="1"/>
      <c r="I228" s="1"/>
      <c r="J228" s="1"/>
      <c r="K228" s="1"/>
      <c r="L228" s="1"/>
      <c r="N228" s="9"/>
      <c r="O228" s="5"/>
      <c r="P228" s="19"/>
      <c r="Q228" s="9"/>
      <c r="R228" s="5"/>
    </row>
    <row r="229" spans="1:18" ht="15.75">
      <c r="B229" s="7" t="s">
        <v>130</v>
      </c>
      <c r="C229" s="1"/>
      <c r="D229" s="1"/>
      <c r="E229" s="1"/>
      <c r="F229" s="1"/>
      <c r="G229" s="1"/>
      <c r="H229" s="1"/>
      <c r="I229" s="1"/>
      <c r="J229" s="1"/>
      <c r="K229" s="1"/>
      <c r="L229" s="1"/>
      <c r="N229" s="9"/>
      <c r="O229" s="5"/>
      <c r="P229" s="19"/>
      <c r="Q229" s="9"/>
      <c r="R229" s="5"/>
    </row>
    <row r="230" spans="1:18">
      <c r="B230" s="60" t="s">
        <v>88</v>
      </c>
      <c r="C230" s="154"/>
      <c r="D230" s="154"/>
      <c r="E230" s="154"/>
      <c r="F230" s="154"/>
      <c r="G230" s="154"/>
      <c r="H230" s="154"/>
      <c r="I230" s="154"/>
      <c r="J230" s="154"/>
      <c r="K230" s="154"/>
      <c r="L230" s="154"/>
      <c r="N230" s="156"/>
      <c r="O230" s="5"/>
      <c r="P230" s="19"/>
      <c r="Q230" s="156"/>
      <c r="R230" s="5"/>
    </row>
    <row r="231" spans="1:18">
      <c r="B231" s="189" t="s">
        <v>193</v>
      </c>
      <c r="C231" s="1">
        <v>8</v>
      </c>
      <c r="D231" s="1" t="s">
        <v>2</v>
      </c>
      <c r="E231" s="122">
        <v>14</v>
      </c>
      <c r="F231" s="1" t="s">
        <v>2</v>
      </c>
      <c r="G231" s="122">
        <v>4</v>
      </c>
      <c r="H231" s="122" t="s">
        <v>2</v>
      </c>
      <c r="I231" s="187">
        <v>3</v>
      </c>
      <c r="J231" s="1" t="s">
        <v>15</v>
      </c>
      <c r="K231" s="1"/>
      <c r="L231" s="1"/>
      <c r="M231" t="s">
        <v>3</v>
      </c>
      <c r="N231" s="136">
        <f>I231*G231*E231*C231</f>
        <v>1344</v>
      </c>
      <c r="O231" s="5" t="s">
        <v>18</v>
      </c>
      <c r="P231" s="19"/>
      <c r="Q231" s="9"/>
      <c r="R231" s="5"/>
    </row>
    <row r="232" spans="1:18">
      <c r="B232" s="189" t="s">
        <v>194</v>
      </c>
      <c r="C232" s="154">
        <v>6</v>
      </c>
      <c r="D232" s="154" t="s">
        <v>2</v>
      </c>
      <c r="E232" s="157">
        <f>E231</f>
        <v>14</v>
      </c>
      <c r="F232" s="154" t="s">
        <v>2</v>
      </c>
      <c r="G232" s="155">
        <v>3.5</v>
      </c>
      <c r="H232" s="157" t="s">
        <v>2</v>
      </c>
      <c r="I232" s="157">
        <v>3</v>
      </c>
      <c r="J232" s="154" t="s">
        <v>15</v>
      </c>
      <c r="K232" s="154"/>
      <c r="L232" s="154"/>
      <c r="M232" t="s">
        <v>3</v>
      </c>
      <c r="N232" s="136">
        <f t="shared" ref="N232" si="2">I232*G232*E232*C232</f>
        <v>882</v>
      </c>
      <c r="O232" s="5" t="s">
        <v>18</v>
      </c>
      <c r="P232" s="19"/>
      <c r="Q232" s="156"/>
      <c r="R232" s="5"/>
    </row>
    <row r="233" spans="1:18">
      <c r="B233" s="60"/>
      <c r="C233" s="154"/>
      <c r="D233" s="154"/>
      <c r="E233" s="157"/>
      <c r="F233" s="154"/>
      <c r="G233" s="157"/>
      <c r="H233" s="157"/>
      <c r="I233" s="157"/>
      <c r="J233" s="154"/>
      <c r="K233" s="154"/>
      <c r="L233" s="154"/>
      <c r="N233" s="202">
        <f>SUM(N231:N232)</f>
        <v>2226</v>
      </c>
      <c r="O233" s="25" t="s">
        <v>18</v>
      </c>
      <c r="P233" s="19"/>
      <c r="Q233" s="156"/>
      <c r="R233" s="5"/>
    </row>
    <row r="234" spans="1:18">
      <c r="B234" s="153">
        <f>N233</f>
        <v>2226</v>
      </c>
      <c r="C234" s="1" t="str">
        <f>O231</f>
        <v>Cft.</v>
      </c>
      <c r="D234" s="1"/>
      <c r="E234" s="1"/>
      <c r="F234" s="1"/>
      <c r="G234" s="1"/>
      <c r="H234" s="1"/>
      <c r="I234" s="1"/>
      <c r="J234" s="1"/>
      <c r="K234" s="1"/>
      <c r="L234" s="124" t="s">
        <v>178</v>
      </c>
      <c r="M234" s="29" t="str">
        <f>M215</f>
        <v>Rs</v>
      </c>
      <c r="N234" s="132">
        <f>5400+550</f>
        <v>5950</v>
      </c>
      <c r="O234" s="19" t="s">
        <v>86</v>
      </c>
      <c r="P234" s="9" t="s">
        <v>16</v>
      </c>
      <c r="Q234" s="10">
        <f>N234*B234/1000</f>
        <v>13244.7</v>
      </c>
    </row>
    <row r="235" spans="1:18">
      <c r="B235" s="3"/>
      <c r="C235" s="1"/>
      <c r="D235" s="1"/>
      <c r="E235" s="1"/>
      <c r="F235" s="1"/>
      <c r="G235" s="1"/>
      <c r="H235" s="1"/>
      <c r="I235" s="1"/>
      <c r="J235" s="1"/>
      <c r="K235" s="1"/>
      <c r="L235" s="1"/>
      <c r="N235" s="29"/>
      <c r="O235" s="13"/>
      <c r="P235" s="19"/>
      <c r="Q235" s="9"/>
      <c r="R235" s="10"/>
    </row>
    <row r="236" spans="1:18" ht="15.75">
      <c r="A236" s="267">
        <v>14</v>
      </c>
      <c r="B236" s="21" t="s">
        <v>89</v>
      </c>
      <c r="C236" s="1"/>
      <c r="D236" s="1"/>
      <c r="E236" s="1"/>
      <c r="F236" s="1"/>
      <c r="G236" s="1"/>
      <c r="H236" s="1"/>
      <c r="I236" s="1"/>
      <c r="J236" s="1"/>
      <c r="K236" s="1"/>
      <c r="L236" s="1"/>
      <c r="N236" s="9"/>
      <c r="O236" s="5"/>
      <c r="P236" s="19"/>
      <c r="Q236" s="9"/>
      <c r="R236" s="5"/>
    </row>
    <row r="237" spans="1:18" ht="15.75">
      <c r="B237" s="21" t="s">
        <v>90</v>
      </c>
      <c r="C237" s="1"/>
      <c r="D237" s="1"/>
      <c r="E237" s="1"/>
      <c r="F237" s="1"/>
      <c r="G237" s="1"/>
      <c r="H237" s="1"/>
      <c r="I237" s="1"/>
      <c r="J237" s="1"/>
      <c r="K237" s="1"/>
      <c r="L237" s="1"/>
      <c r="N237" s="9"/>
      <c r="O237" s="5"/>
      <c r="P237" s="19"/>
      <c r="Q237" s="9"/>
      <c r="R237" s="5"/>
    </row>
    <row r="238" spans="1:18" ht="15.75">
      <c r="B238" s="21" t="s">
        <v>132</v>
      </c>
      <c r="C238" s="1"/>
      <c r="D238" s="1"/>
      <c r="E238" s="1"/>
      <c r="F238" s="1"/>
      <c r="G238" s="1"/>
      <c r="H238" s="1"/>
      <c r="I238" s="1"/>
      <c r="J238" s="1"/>
      <c r="K238" s="1"/>
      <c r="L238" s="1"/>
      <c r="N238" s="9"/>
      <c r="O238" s="5"/>
      <c r="P238" s="19"/>
      <c r="Q238" s="9"/>
      <c r="R238" s="5"/>
    </row>
    <row r="239" spans="1:18" ht="15">
      <c r="B239" s="61" t="s">
        <v>192</v>
      </c>
      <c r="C239" s="1">
        <f>C231</f>
        <v>8</v>
      </c>
      <c r="D239" s="1" t="s">
        <v>2</v>
      </c>
      <c r="E239" s="164">
        <v>16</v>
      </c>
      <c r="F239" s="1" t="s">
        <v>15</v>
      </c>
      <c r="G239" s="1"/>
      <c r="H239" s="1"/>
      <c r="I239" s="1"/>
      <c r="J239" s="1"/>
      <c r="K239" s="1"/>
      <c r="L239" s="1"/>
      <c r="M239" t="s">
        <v>3</v>
      </c>
      <c r="N239" s="178">
        <f>E239*C239</f>
        <v>128</v>
      </c>
      <c r="O239" s="5" t="s">
        <v>10</v>
      </c>
      <c r="P239" s="19"/>
      <c r="Q239" s="9"/>
      <c r="R239" s="5"/>
    </row>
    <row r="240" spans="1:18">
      <c r="B240" s="56">
        <f>N239</f>
        <v>128</v>
      </c>
      <c r="C240" s="154" t="str">
        <f>O193</f>
        <v>Rft.</v>
      </c>
      <c r="D240" s="154"/>
      <c r="E240" s="164"/>
      <c r="F240" s="154"/>
      <c r="G240" s="154"/>
      <c r="H240" s="154"/>
      <c r="I240" s="154"/>
      <c r="J240" s="154"/>
      <c r="K240" s="154"/>
      <c r="L240" s="124" t="s">
        <v>178</v>
      </c>
      <c r="M240" s="158" t="s">
        <v>5</v>
      </c>
      <c r="N240" s="132">
        <v>869</v>
      </c>
      <c r="O240" s="19" t="s">
        <v>70</v>
      </c>
      <c r="P240" s="156" t="s">
        <v>16</v>
      </c>
      <c r="Q240" s="10">
        <f>N240*B240</f>
        <v>111232</v>
      </c>
      <c r="R240" s="5"/>
    </row>
    <row r="241" spans="1:19" ht="15">
      <c r="B241" s="61" t="s">
        <v>91</v>
      </c>
      <c r="C241" s="154">
        <f>C232</f>
        <v>6</v>
      </c>
      <c r="D241" s="154" t="s">
        <v>2</v>
      </c>
      <c r="E241" s="164">
        <v>16</v>
      </c>
      <c r="F241" s="154" t="s">
        <v>15</v>
      </c>
      <c r="G241" s="154"/>
      <c r="H241" s="154"/>
      <c r="I241" s="154"/>
      <c r="J241" s="154"/>
      <c r="K241" s="154"/>
      <c r="L241" s="154"/>
      <c r="M241" t="s">
        <v>3</v>
      </c>
      <c r="N241" s="178">
        <f t="shared" ref="N241" si="3">E241*C241</f>
        <v>96</v>
      </c>
      <c r="O241" s="5" t="s">
        <v>10</v>
      </c>
      <c r="P241" s="19"/>
      <c r="Q241" s="156"/>
      <c r="R241" s="5"/>
    </row>
    <row r="242" spans="1:19">
      <c r="B242" s="56">
        <f>N241</f>
        <v>96</v>
      </c>
      <c r="C242" s="192"/>
      <c r="D242" s="154"/>
      <c r="E242" s="164"/>
      <c r="F242" s="154"/>
      <c r="G242" s="154"/>
      <c r="H242" s="154"/>
      <c r="I242" s="154"/>
      <c r="J242" s="154"/>
      <c r="K242" s="154"/>
      <c r="L242" s="124" t="s">
        <v>178</v>
      </c>
      <c r="M242" s="158" t="s">
        <v>5</v>
      </c>
      <c r="N242" s="132">
        <v>618</v>
      </c>
      <c r="O242" s="19" t="s">
        <v>70</v>
      </c>
      <c r="P242" s="156" t="s">
        <v>16</v>
      </c>
      <c r="Q242" s="10">
        <f>N242*B242</f>
        <v>59328</v>
      </c>
      <c r="R242" s="5"/>
    </row>
    <row r="243" spans="1:19" ht="15">
      <c r="B243" s="61"/>
      <c r="C243" s="126"/>
      <c r="D243" s="126"/>
      <c r="E243" s="126"/>
      <c r="F243" s="126"/>
      <c r="G243" s="126"/>
      <c r="H243" s="126"/>
      <c r="I243" s="126"/>
      <c r="J243" s="126"/>
      <c r="K243" s="126"/>
      <c r="L243" s="126"/>
      <c r="N243" s="62"/>
      <c r="O243" s="5"/>
      <c r="P243" s="19"/>
      <c r="Q243" s="127"/>
      <c r="R243" s="5"/>
    </row>
    <row r="244" spans="1:19" ht="15.75">
      <c r="A244" s="267">
        <v>15</v>
      </c>
      <c r="B244" s="63" t="s">
        <v>92</v>
      </c>
      <c r="C244" s="126"/>
      <c r="D244" s="126"/>
      <c r="E244" s="126"/>
      <c r="F244" s="126"/>
      <c r="G244" s="126"/>
      <c r="H244" s="126"/>
      <c r="I244" s="126"/>
      <c r="J244" s="126"/>
      <c r="K244" s="126"/>
      <c r="L244" s="126"/>
      <c r="N244" s="127"/>
      <c r="O244" s="5"/>
      <c r="P244" s="19"/>
      <c r="Q244" s="127"/>
      <c r="R244" s="5"/>
    </row>
    <row r="245" spans="1:19" ht="15.75">
      <c r="B245" s="63" t="s">
        <v>93</v>
      </c>
      <c r="C245" s="126"/>
      <c r="D245" s="126"/>
      <c r="E245" s="126"/>
      <c r="F245" s="126"/>
      <c r="G245" s="126"/>
      <c r="H245" s="126"/>
      <c r="I245" s="126"/>
      <c r="J245" s="126"/>
      <c r="K245" s="126"/>
      <c r="L245" s="126"/>
      <c r="N245" s="127"/>
      <c r="O245" s="5"/>
      <c r="P245" s="19"/>
      <c r="Q245" s="127"/>
      <c r="R245" s="5"/>
    </row>
    <row r="246" spans="1:19" ht="15.75">
      <c r="B246" s="63" t="s">
        <v>133</v>
      </c>
      <c r="C246" s="126"/>
      <c r="D246" s="126"/>
      <c r="E246" s="126"/>
      <c r="F246" s="126"/>
      <c r="G246" s="126"/>
      <c r="H246" s="126"/>
      <c r="I246" s="126"/>
      <c r="J246" s="126"/>
      <c r="K246" s="126"/>
      <c r="L246" s="126"/>
      <c r="N246" s="127"/>
      <c r="O246" s="5"/>
      <c r="P246" s="19"/>
      <c r="Q246" s="127"/>
      <c r="R246" s="5"/>
    </row>
    <row r="247" spans="1:19">
      <c r="B247" s="64" t="s">
        <v>94</v>
      </c>
      <c r="C247" s="126"/>
      <c r="D247" s="126">
        <v>11</v>
      </c>
      <c r="E247" s="126" t="s">
        <v>46</v>
      </c>
      <c r="F247" s="126"/>
      <c r="G247" s="126">
        <v>12</v>
      </c>
      <c r="H247" s="129" t="s">
        <v>21</v>
      </c>
      <c r="I247" s="917">
        <f>B234+B215</f>
        <v>5936</v>
      </c>
      <c r="J247" s="917"/>
      <c r="K247" s="129"/>
      <c r="L247" s="126"/>
      <c r="N247" s="51"/>
      <c r="O247" s="5"/>
      <c r="P247" s="19"/>
      <c r="Q247" s="127"/>
      <c r="R247" s="5"/>
    </row>
    <row r="248" spans="1:19" ht="7.5" customHeight="1">
      <c r="B248" s="916"/>
      <c r="C248" s="916"/>
      <c r="D248" s="126"/>
      <c r="E248" s="126"/>
      <c r="F248" s="126"/>
      <c r="G248" s="126"/>
      <c r="H248" s="126"/>
      <c r="I248" s="126"/>
      <c r="J248" s="126"/>
      <c r="K248" s="126"/>
      <c r="L248" s="126"/>
      <c r="N248" s="51"/>
      <c r="O248" s="5"/>
      <c r="P248" s="19"/>
      <c r="Q248" s="127"/>
      <c r="R248" s="5"/>
    </row>
    <row r="249" spans="1:19">
      <c r="B249" s="153">
        <f>I247</f>
        <v>5936</v>
      </c>
      <c r="C249" s="129" t="s">
        <v>2</v>
      </c>
      <c r="D249" s="126">
        <v>90</v>
      </c>
      <c r="E249" s="134" t="s">
        <v>181</v>
      </c>
      <c r="F249" s="913">
        <v>100</v>
      </c>
      <c r="G249" s="913"/>
      <c r="H249" s="126"/>
      <c r="I249" s="126"/>
      <c r="J249" s="126"/>
      <c r="K249" s="126"/>
      <c r="L249" s="124"/>
      <c r="M249" t="s">
        <v>3</v>
      </c>
      <c r="N249" s="136">
        <f>B249*90/100</f>
        <v>5342.4</v>
      </c>
      <c r="O249" s="25" t="s">
        <v>167</v>
      </c>
      <c r="P249" s="127"/>
      <c r="Q249" s="10"/>
      <c r="R249" s="5"/>
    </row>
    <row r="250" spans="1:19" ht="7.5" customHeight="1">
      <c r="B250" s="56"/>
      <c r="C250" s="129"/>
      <c r="D250" s="126"/>
      <c r="E250" s="134"/>
      <c r="F250" s="126"/>
      <c r="G250" s="126"/>
      <c r="H250" s="126"/>
      <c r="I250" s="126"/>
      <c r="J250" s="126"/>
      <c r="K250" s="126"/>
      <c r="L250" s="124"/>
      <c r="N250" s="62"/>
      <c r="O250" s="25"/>
      <c r="P250" s="127"/>
      <c r="Q250" s="10"/>
      <c r="R250" s="5"/>
    </row>
    <row r="251" spans="1:19" ht="15">
      <c r="B251" s="83">
        <f>N249</f>
        <v>5342.4</v>
      </c>
      <c r="C251" s="129" t="s">
        <v>167</v>
      </c>
      <c r="D251" s="126"/>
      <c r="E251" s="126"/>
      <c r="F251" s="126"/>
      <c r="G251" s="126"/>
      <c r="H251" s="126"/>
      <c r="I251" s="126"/>
      <c r="J251" s="126"/>
      <c r="K251" s="126"/>
      <c r="L251" s="124" t="s">
        <v>178</v>
      </c>
      <c r="M251" s="130" t="s">
        <v>5</v>
      </c>
      <c r="N251" s="13">
        <v>2760</v>
      </c>
      <c r="O251" s="19" t="s">
        <v>1</v>
      </c>
      <c r="P251" s="127" t="s">
        <v>16</v>
      </c>
      <c r="Q251" s="10">
        <f>N251*B251/1000</f>
        <v>14745.023999999998</v>
      </c>
      <c r="R251" s="5"/>
    </row>
    <row r="252" spans="1:19" ht="10.5" customHeight="1">
      <c r="B252" s="135"/>
      <c r="C252" s="129"/>
      <c r="D252" s="126"/>
      <c r="E252" s="126"/>
      <c r="F252" s="126"/>
      <c r="G252" s="126"/>
      <c r="H252" s="126"/>
      <c r="I252" s="126"/>
      <c r="J252" s="126"/>
      <c r="K252" s="126"/>
      <c r="L252" s="124"/>
      <c r="M252" s="130"/>
      <c r="N252" s="13"/>
      <c r="O252" s="19"/>
      <c r="P252" s="127"/>
      <c r="Q252" s="10"/>
      <c r="R252" s="5"/>
    </row>
    <row r="253" spans="1:19" s="174" customFormat="1" ht="15">
      <c r="A253" s="23">
        <v>16</v>
      </c>
      <c r="B253" s="174" t="s">
        <v>195</v>
      </c>
      <c r="E253" s="175"/>
      <c r="I253" s="175"/>
      <c r="L253" s="176"/>
      <c r="O253" s="176"/>
    </row>
    <row r="254" spans="1:19" s="174" customFormat="1" ht="15">
      <c r="A254" s="23"/>
      <c r="B254" s="174" t="s">
        <v>196</v>
      </c>
      <c r="E254" s="175"/>
      <c r="I254" s="175"/>
      <c r="L254" s="176"/>
      <c r="O254" s="176"/>
    </row>
    <row r="255" spans="1:19">
      <c r="B255" s="3">
        <v>2</v>
      </c>
      <c r="C255" s="162">
        <v>1</v>
      </c>
      <c r="D255" s="162" t="s">
        <v>2</v>
      </c>
      <c r="E255" s="162">
        <v>1</v>
      </c>
      <c r="F255" s="162" t="s">
        <v>2</v>
      </c>
      <c r="G255" s="162">
        <v>1.1299999999999999</v>
      </c>
      <c r="H255" s="162" t="s">
        <v>2</v>
      </c>
      <c r="I255" s="164">
        <v>2</v>
      </c>
      <c r="J255" s="162"/>
      <c r="K255" s="162"/>
      <c r="L255" s="162"/>
      <c r="M255" t="s">
        <v>3</v>
      </c>
      <c r="N255" s="2">
        <f>C255*E255*G255*I255*2</f>
        <v>4.5199999999999996</v>
      </c>
      <c r="O255" s="27" t="s">
        <v>167</v>
      </c>
      <c r="P255" s="25"/>
      <c r="Q255" s="19"/>
      <c r="R255" s="163"/>
      <c r="S255" s="10"/>
    </row>
    <row r="256" spans="1:19" ht="19.5" customHeight="1">
      <c r="B256" s="3">
        <v>2</v>
      </c>
      <c r="C256" s="162">
        <v>2</v>
      </c>
      <c r="D256" s="162" t="s">
        <v>2</v>
      </c>
      <c r="E256" s="162">
        <v>1.1299999999999999</v>
      </c>
      <c r="F256" s="162" t="s">
        <v>2</v>
      </c>
      <c r="G256" s="162">
        <v>1.1299999999999999</v>
      </c>
      <c r="H256" s="162" t="s">
        <v>2</v>
      </c>
      <c r="I256" s="164">
        <v>6</v>
      </c>
      <c r="J256" s="162"/>
      <c r="K256" s="162"/>
      <c r="L256" s="162"/>
      <c r="M256" s="165" t="s">
        <v>21</v>
      </c>
      <c r="N256" s="2">
        <f>C256*E256*G256*I256*2</f>
        <v>30.645599999999995</v>
      </c>
      <c r="O256" s="27" t="s">
        <v>167</v>
      </c>
      <c r="P256" s="25"/>
      <c r="Q256" s="19"/>
      <c r="R256" s="163"/>
      <c r="S256" s="10"/>
    </row>
    <row r="257" spans="1:24">
      <c r="B257" s="3"/>
      <c r="C257" s="162"/>
      <c r="D257" s="162"/>
      <c r="E257" s="162"/>
      <c r="F257" s="162"/>
      <c r="G257" s="162"/>
      <c r="H257" s="162"/>
      <c r="I257" s="162"/>
      <c r="J257" s="162"/>
      <c r="K257" s="162"/>
      <c r="L257" s="162"/>
      <c r="M257" s="162"/>
      <c r="N257" s="56">
        <f>SUM(N255:N256)</f>
        <v>35.165599999999998</v>
      </c>
      <c r="O257" s="27" t="s">
        <v>167</v>
      </c>
      <c r="P257" s="25"/>
      <c r="Q257" s="19"/>
      <c r="R257" s="163"/>
      <c r="S257" s="10"/>
    </row>
    <row r="258" spans="1:24">
      <c r="B258" s="56">
        <f>N257</f>
        <v>35.165599999999998</v>
      </c>
      <c r="C258" s="165" t="s">
        <v>6</v>
      </c>
      <c r="D258" s="162"/>
      <c r="E258" s="162"/>
      <c r="F258" s="162"/>
      <c r="G258" s="162"/>
      <c r="H258" s="162"/>
      <c r="I258" s="162"/>
      <c r="J258" s="162"/>
      <c r="K258" s="162"/>
      <c r="L258" s="124" t="s">
        <v>178</v>
      </c>
      <c r="M258" s="166" t="s">
        <v>5</v>
      </c>
      <c r="N258" s="13">
        <v>11948.36</v>
      </c>
      <c r="O258" s="42" t="s">
        <v>197</v>
      </c>
      <c r="P258" s="163" t="s">
        <v>16</v>
      </c>
      <c r="Q258" s="10">
        <f>N258*B258/100</f>
        <v>4201.7124841599998</v>
      </c>
      <c r="R258" s="10" t="e">
        <f>O258*B258/100</f>
        <v>#VALUE!</v>
      </c>
    </row>
    <row r="259" spans="1:24" s="174" customFormat="1" ht="15">
      <c r="A259" s="23"/>
      <c r="E259" s="175"/>
      <c r="I259" s="175"/>
      <c r="L259" s="176"/>
      <c r="O259" s="176"/>
    </row>
    <row r="260" spans="1:24">
      <c r="A260" s="267">
        <v>18</v>
      </c>
      <c r="B260" s="6" t="s">
        <v>134</v>
      </c>
      <c r="C260" s="162"/>
      <c r="D260" s="162"/>
      <c r="E260" s="162"/>
      <c r="F260" s="162"/>
      <c r="G260" s="162"/>
      <c r="H260" s="162"/>
      <c r="I260" s="162"/>
      <c r="J260" s="162"/>
      <c r="K260" s="162"/>
      <c r="L260" s="162"/>
      <c r="M260" s="162"/>
      <c r="O260" s="29"/>
      <c r="P260" s="5"/>
      <c r="Q260" s="19"/>
      <c r="R260" s="163"/>
      <c r="S260" s="10"/>
    </row>
    <row r="261" spans="1:24" ht="15" customHeight="1">
      <c r="B261" s="3">
        <v>2</v>
      </c>
      <c r="C261" s="162">
        <f>C255</f>
        <v>1</v>
      </c>
      <c r="D261" s="162" t="s">
        <v>2</v>
      </c>
      <c r="E261" s="162">
        <f>E255</f>
        <v>1</v>
      </c>
      <c r="F261" s="162" t="s">
        <v>2</v>
      </c>
      <c r="G261" s="162">
        <v>4.25</v>
      </c>
      <c r="H261" s="162"/>
      <c r="I261" s="162"/>
      <c r="J261" s="162"/>
      <c r="K261" s="162"/>
      <c r="L261" s="162"/>
      <c r="M261" s="165" t="s">
        <v>21</v>
      </c>
      <c r="N261" s="2">
        <f>C261*E261*G261*2</f>
        <v>8.5</v>
      </c>
      <c r="O261" s="27" t="s">
        <v>187</v>
      </c>
      <c r="P261" s="5"/>
      <c r="Q261" s="19"/>
      <c r="R261" s="163"/>
      <c r="S261" s="10"/>
    </row>
    <row r="262" spans="1:24">
      <c r="B262" s="3">
        <v>2</v>
      </c>
      <c r="C262" s="162">
        <v>2</v>
      </c>
      <c r="D262" s="162" t="s">
        <v>2</v>
      </c>
      <c r="E262" s="162">
        <v>3</v>
      </c>
      <c r="F262" s="162" t="s">
        <v>2</v>
      </c>
      <c r="G262" s="162">
        <v>1.1299999999999999</v>
      </c>
      <c r="H262" s="162" t="s">
        <v>2</v>
      </c>
      <c r="I262" s="164">
        <v>8</v>
      </c>
      <c r="J262" s="162"/>
      <c r="K262" s="162"/>
      <c r="L262" s="162"/>
      <c r="M262" s="165" t="s">
        <v>21</v>
      </c>
      <c r="N262" s="2">
        <f>C262*E262*G262*I262*2</f>
        <v>108.47999999999999</v>
      </c>
      <c r="O262" s="27" t="s">
        <v>187</v>
      </c>
      <c r="P262" s="17"/>
      <c r="Q262" s="19"/>
      <c r="R262" s="163"/>
      <c r="S262" s="10"/>
    </row>
    <row r="263" spans="1:24">
      <c r="B263" s="3"/>
      <c r="C263" s="162"/>
      <c r="D263" s="162"/>
      <c r="E263" s="162"/>
      <c r="F263" s="162"/>
      <c r="G263" s="162"/>
      <c r="H263" s="162"/>
      <c r="I263" s="162"/>
      <c r="J263" s="162"/>
      <c r="K263" s="162"/>
      <c r="L263" s="162"/>
      <c r="M263" s="162"/>
      <c r="N263" s="56">
        <f>SUM(N261:N262)</f>
        <v>116.97999999999999</v>
      </c>
      <c r="O263" s="12" t="s">
        <v>187</v>
      </c>
      <c r="P263" s="53"/>
      <c r="Q263" s="19"/>
      <c r="R263" s="163"/>
      <c r="S263" s="10"/>
    </row>
    <row r="264" spans="1:24" ht="15.75">
      <c r="B264" s="56">
        <f>N263</f>
        <v>116.97999999999999</v>
      </c>
      <c r="C264" s="167"/>
      <c r="D264" s="165" t="s">
        <v>187</v>
      </c>
      <c r="E264" s="162"/>
      <c r="F264" s="162"/>
      <c r="G264" s="162"/>
      <c r="H264" s="162"/>
      <c r="I264" s="162"/>
      <c r="J264" s="162"/>
      <c r="K264" s="162"/>
      <c r="L264" s="124" t="s">
        <v>178</v>
      </c>
      <c r="M264" s="166" t="s">
        <v>5</v>
      </c>
      <c r="N264" s="13">
        <v>2283.9299999999998</v>
      </c>
      <c r="O264" s="42" t="s">
        <v>198</v>
      </c>
      <c r="P264" s="163" t="s">
        <v>16</v>
      </c>
      <c r="Q264" s="10">
        <f>N264*B264/100</f>
        <v>2671.7413139999994</v>
      </c>
      <c r="R264" s="177" t="e">
        <f>O264*B264/100</f>
        <v>#VALUE!</v>
      </c>
      <c r="T264" s="7"/>
      <c r="U264" s="7"/>
      <c r="V264" s="7"/>
      <c r="W264" s="7"/>
      <c r="X264" s="7"/>
    </row>
    <row r="265" spans="1:24" ht="15">
      <c r="B265" s="135"/>
      <c r="C265" s="129"/>
      <c r="D265" s="126"/>
      <c r="E265" s="126"/>
      <c r="F265" s="126"/>
      <c r="G265" s="126"/>
      <c r="H265" s="126"/>
      <c r="I265" s="126"/>
      <c r="J265" s="126"/>
      <c r="K265" s="126"/>
      <c r="L265" s="124"/>
      <c r="M265" s="130"/>
      <c r="N265" s="13"/>
      <c r="O265" s="19"/>
      <c r="P265" s="137"/>
      <c r="Q265" s="138"/>
      <c r="R265" s="5"/>
    </row>
    <row r="266" spans="1:24" ht="15">
      <c r="B266" s="135"/>
      <c r="C266" s="129"/>
      <c r="D266" s="126"/>
      <c r="E266" s="126"/>
      <c r="F266" s="126"/>
      <c r="G266" s="126"/>
      <c r="H266" s="126"/>
      <c r="I266" s="126"/>
      <c r="J266" s="126"/>
      <c r="K266" s="126"/>
      <c r="L266" s="124"/>
      <c r="M266" s="130"/>
      <c r="N266" s="13"/>
      <c r="O266" s="42" t="s">
        <v>183</v>
      </c>
      <c r="P266" s="131" t="s">
        <v>5</v>
      </c>
      <c r="Q266" s="10">
        <f>Q264+Q258+Q251+Q242+Q240+Q234+Q215+Q203+Q200+Q194+Q184+Q162+Q150+Q138+Q123+Q96+Q87+Q78+Q65+Q54+Q18</f>
        <v>24686525.640551314</v>
      </c>
      <c r="R266" s="5"/>
    </row>
    <row r="267" spans="1:24" ht="15">
      <c r="B267" s="135"/>
      <c r="C267" s="258"/>
      <c r="D267" s="255"/>
      <c r="E267" s="255"/>
      <c r="F267" s="255"/>
      <c r="G267" s="255"/>
      <c r="H267" s="255"/>
      <c r="I267" s="255"/>
      <c r="J267" s="255"/>
      <c r="K267" s="255"/>
      <c r="L267" s="124"/>
      <c r="M267" s="259"/>
      <c r="N267" s="13"/>
      <c r="O267" s="225"/>
      <c r="P267" s="260"/>
      <c r="Q267" s="10"/>
      <c r="R267" s="5"/>
    </row>
    <row r="268" spans="1:24">
      <c r="C268" s="191"/>
      <c r="D268" s="191"/>
      <c r="E268" s="191"/>
      <c r="F268" s="191"/>
      <c r="G268" s="255" t="s">
        <v>239</v>
      </c>
      <c r="H268" s="191"/>
      <c r="I268" s="191"/>
      <c r="J268" s="191"/>
      <c r="K268" s="191"/>
      <c r="L268" s="191"/>
      <c r="N268" s="256" t="s">
        <v>238</v>
      </c>
      <c r="O268" s="5"/>
      <c r="P268" s="260" t="s">
        <v>5</v>
      </c>
      <c r="Q268" s="10">
        <f>Q266*33.7/100</f>
        <v>8319359.1408657935</v>
      </c>
      <c r="R268" s="5"/>
    </row>
    <row r="269" spans="1:24" s="6" customFormat="1" hidden="1">
      <c r="A269" s="268"/>
      <c r="Q269" s="25"/>
    </row>
    <row r="270" spans="1:24" s="6" customFormat="1" ht="15" hidden="1">
      <c r="A270" s="268"/>
      <c r="N270" s="6" t="s">
        <v>41</v>
      </c>
      <c r="P270" s="15" t="s">
        <v>5</v>
      </c>
      <c r="Q270" s="28">
        <v>0</v>
      </c>
    </row>
    <row r="271" spans="1:24" s="6" customFormat="1" hidden="1">
      <c r="A271" s="268"/>
      <c r="Q271" s="25"/>
      <c r="S271"/>
      <c r="T271"/>
      <c r="U271"/>
      <c r="V271"/>
      <c r="W271"/>
    </row>
    <row r="272" spans="1:24" s="6" customFormat="1" ht="15" hidden="1">
      <c r="A272" s="268"/>
      <c r="J272" s="35" t="s">
        <v>35</v>
      </c>
      <c r="K272" s="35"/>
      <c r="L272" s="915">
        <v>0</v>
      </c>
      <c r="M272" s="915"/>
      <c r="N272" s="6" t="s">
        <v>42</v>
      </c>
      <c r="P272" s="15" t="s">
        <v>5</v>
      </c>
      <c r="Q272" s="28" t="e">
        <f>#REF!*L272</f>
        <v>#REF!</v>
      </c>
      <c r="S272"/>
      <c r="T272"/>
      <c r="U272"/>
      <c r="V272"/>
      <c r="W272"/>
    </row>
    <row r="273" spans="1:23" s="6" customFormat="1" hidden="1">
      <c r="A273" s="268"/>
      <c r="O273" s="3" t="s">
        <v>43</v>
      </c>
      <c r="P273" s="14" t="s">
        <v>5</v>
      </c>
      <c r="Q273" s="8" t="e">
        <f>#REF!-Q272</f>
        <v>#REF!</v>
      </c>
      <c r="S273"/>
      <c r="T273"/>
      <c r="U273"/>
      <c r="V273"/>
      <c r="W273"/>
    </row>
    <row r="274" spans="1:23" s="6" customFormat="1">
      <c r="A274" s="268"/>
      <c r="O274" s="3"/>
      <c r="P274" s="264"/>
      <c r="Q274" s="237"/>
      <c r="S274"/>
      <c r="T274"/>
      <c r="U274"/>
      <c r="V274"/>
      <c r="W274"/>
    </row>
    <row r="276" spans="1:23">
      <c r="O276" s="3" t="s">
        <v>185</v>
      </c>
      <c r="P276" s="3" t="s">
        <v>5</v>
      </c>
      <c r="Q276" s="8">
        <f>Q268+Q266</f>
        <v>33005884.781417109</v>
      </c>
    </row>
  </sheetData>
  <mergeCells count="7">
    <mergeCell ref="C46:E46"/>
    <mergeCell ref="G46:H46"/>
    <mergeCell ref="A1:Q1"/>
    <mergeCell ref="L272:M272"/>
    <mergeCell ref="B248:C248"/>
    <mergeCell ref="I247:J247"/>
    <mergeCell ref="F249:G249"/>
  </mergeCells>
  <pageMargins left="0.72" right="0.26" top="0.28000000000000003" bottom="0.28999999999999998" header="0.21" footer="0.24"/>
  <pageSetup paperSize="9" scale="98" orientation="portrait" r:id="rId1"/>
  <headerFooter alignWithMargins="0"/>
  <rowBreaks count="1" manualBreakCount="1">
    <brk id="101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:X141"/>
  <sheetViews>
    <sheetView workbookViewId="0">
      <selection activeCell="Q12" sqref="Q12"/>
    </sheetView>
  </sheetViews>
  <sheetFormatPr defaultRowHeight="15.75"/>
  <cols>
    <col min="1" max="1" width="4.140625" style="287" customWidth="1"/>
    <col min="2" max="2" width="7.5703125" style="7" customWidth="1"/>
    <col min="3" max="3" width="5.85546875" style="7" customWidth="1"/>
    <col min="4" max="4" width="2.28515625" style="7" customWidth="1"/>
    <col min="5" max="5" width="6.85546875" style="7" customWidth="1"/>
    <col min="6" max="6" width="3.42578125" style="7" customWidth="1"/>
    <col min="7" max="7" width="6.5703125" style="7" customWidth="1"/>
    <col min="8" max="8" width="3" style="7" customWidth="1"/>
    <col min="9" max="9" width="6" style="7" customWidth="1"/>
    <col min="10" max="10" width="4.28515625" style="7" customWidth="1"/>
    <col min="11" max="11" width="6" style="7" customWidth="1"/>
    <col min="12" max="12" width="2.85546875" style="7" customWidth="1"/>
    <col min="13" max="13" width="7.5703125" style="7" customWidth="1"/>
    <col min="14" max="14" width="3.28515625" style="7" customWidth="1"/>
    <col min="15" max="15" width="11" style="7" customWidth="1"/>
    <col min="16" max="16" width="3" style="7" customWidth="1"/>
    <col min="17" max="17" width="10.7109375" style="7" customWidth="1"/>
    <col min="18" max="18" width="2" style="7" hidden="1" customWidth="1"/>
    <col min="19" max="19" width="9.140625" style="7" hidden="1" customWidth="1"/>
    <col min="20" max="20" width="9" style="7" hidden="1" customWidth="1"/>
    <col min="21" max="21" width="3.28515625" style="7" hidden="1" customWidth="1"/>
    <col min="22" max="22" width="7.5703125" style="7" hidden="1" customWidth="1"/>
    <col min="23" max="23" width="2.5703125" style="7" hidden="1" customWidth="1"/>
    <col min="24" max="24" width="6.7109375" style="7" customWidth="1"/>
    <col min="25" max="25" width="3.7109375" style="7" customWidth="1"/>
    <col min="26" max="26" width="7.5703125" style="7" customWidth="1"/>
    <col min="27" max="36" width="9.140625" style="7" customWidth="1"/>
    <col min="37" max="16384" width="9.140625" style="7"/>
  </cols>
  <sheetData>
    <row r="1" spans="1:23" ht="3.75" customHeight="1">
      <c r="A1" s="924" t="s">
        <v>271</v>
      </c>
      <c r="B1" s="924"/>
      <c r="C1" s="924"/>
      <c r="D1" s="924"/>
      <c r="E1" s="924"/>
      <c r="F1" s="924"/>
      <c r="G1" s="924"/>
      <c r="H1" s="924"/>
      <c r="I1" s="924"/>
      <c r="J1" s="924"/>
      <c r="K1" s="924"/>
      <c r="L1" s="924"/>
      <c r="M1" s="924"/>
      <c r="N1" s="924"/>
      <c r="O1" s="924"/>
      <c r="P1" s="924"/>
      <c r="Q1" s="924"/>
    </row>
    <row r="2" spans="1:23" ht="15" customHeight="1">
      <c r="A2" s="924"/>
      <c r="B2" s="924"/>
      <c r="C2" s="924"/>
      <c r="D2" s="924"/>
      <c r="E2" s="924"/>
      <c r="F2" s="924"/>
      <c r="G2" s="924"/>
      <c r="H2" s="924"/>
      <c r="I2" s="924"/>
      <c r="J2" s="924"/>
      <c r="K2" s="924"/>
      <c r="L2" s="924"/>
      <c r="M2" s="924"/>
      <c r="N2" s="924"/>
      <c r="O2" s="924"/>
      <c r="P2" s="924"/>
      <c r="Q2" s="924"/>
      <c r="R2" s="7" t="s">
        <v>275</v>
      </c>
      <c r="S2" s="314" t="s">
        <v>273</v>
      </c>
      <c r="T2" s="314">
        <v>500</v>
      </c>
      <c r="U2" s="314" t="s">
        <v>2</v>
      </c>
      <c r="V2" s="314">
        <v>400</v>
      </c>
      <c r="W2" s="7" t="s">
        <v>274</v>
      </c>
    </row>
    <row r="3" spans="1:23" ht="15.75" customHeight="1">
      <c r="A3" s="300"/>
      <c r="B3" s="924" t="s">
        <v>653</v>
      </c>
      <c r="C3" s="924"/>
      <c r="D3" s="924"/>
      <c r="E3" s="924"/>
      <c r="F3" s="924"/>
      <c r="G3" s="924"/>
      <c r="H3" s="924"/>
      <c r="I3" s="924"/>
      <c r="J3" s="282"/>
      <c r="K3" s="282"/>
      <c r="L3" s="271"/>
      <c r="M3" s="271"/>
      <c r="N3" s="271"/>
      <c r="O3" s="271"/>
      <c r="P3" s="271"/>
      <c r="Q3" s="271"/>
    </row>
    <row r="4" spans="1:23" customFormat="1">
      <c r="A4" s="284">
        <v>1</v>
      </c>
      <c r="B4" s="7" t="s">
        <v>242</v>
      </c>
      <c r="C4" s="269"/>
      <c r="D4" s="269"/>
      <c r="E4" s="269"/>
      <c r="F4" s="269"/>
      <c r="G4" s="269"/>
      <c r="H4" s="269"/>
      <c r="I4" s="269"/>
      <c r="J4" s="277"/>
      <c r="K4" s="277"/>
      <c r="L4" s="269"/>
      <c r="M4" s="269"/>
      <c r="N4" s="269"/>
      <c r="P4" s="270"/>
      <c r="Q4" s="5"/>
      <c r="R4" s="19"/>
      <c r="S4" s="270"/>
      <c r="T4" s="5"/>
    </row>
    <row r="5" spans="1:23" customFormat="1">
      <c r="A5" s="284"/>
      <c r="B5" s="7" t="s">
        <v>253</v>
      </c>
      <c r="C5" s="269"/>
      <c r="D5" s="269"/>
      <c r="E5" s="269"/>
      <c r="F5" s="269"/>
      <c r="G5" s="269"/>
      <c r="H5" s="269"/>
      <c r="I5" s="269"/>
      <c r="J5" s="277"/>
      <c r="K5" s="277"/>
      <c r="L5" s="269"/>
      <c r="M5" s="269"/>
      <c r="N5" s="269"/>
      <c r="P5" s="270"/>
      <c r="Q5" s="5"/>
      <c r="R5" s="19"/>
      <c r="S5" s="270"/>
      <c r="T5" s="5"/>
    </row>
    <row r="6" spans="1:23" customFormat="1">
      <c r="A6" s="284"/>
      <c r="B6" s="7" t="s">
        <v>254</v>
      </c>
      <c r="C6" s="269"/>
      <c r="D6" s="269"/>
      <c r="E6" s="269"/>
      <c r="F6" s="269"/>
      <c r="G6" s="269"/>
      <c r="H6" s="269"/>
      <c r="I6" s="269"/>
      <c r="J6" s="277"/>
      <c r="K6" s="277"/>
      <c r="L6" s="269"/>
      <c r="M6" s="269"/>
      <c r="N6" s="269"/>
      <c r="P6" s="270"/>
      <c r="Q6" s="5"/>
      <c r="R6" s="19"/>
      <c r="S6" s="270"/>
      <c r="T6" s="5"/>
    </row>
    <row r="7" spans="1:23" customFormat="1">
      <c r="A7" s="284"/>
      <c r="B7" s="7" t="s">
        <v>255</v>
      </c>
      <c r="C7" s="269"/>
      <c r="D7" s="269"/>
      <c r="E7" s="269"/>
      <c r="F7" s="269"/>
      <c r="G7" s="269"/>
      <c r="H7" s="269"/>
      <c r="I7" s="269"/>
      <c r="J7" s="277"/>
      <c r="K7" s="277"/>
      <c r="L7" s="269"/>
      <c r="M7" s="269"/>
      <c r="N7" s="269"/>
      <c r="P7" s="270"/>
      <c r="Q7" s="5"/>
      <c r="R7" s="19"/>
      <c r="S7" s="270"/>
      <c r="T7" s="5"/>
    </row>
    <row r="8" spans="1:23" customFormat="1">
      <c r="A8" s="284"/>
      <c r="B8" s="7" t="s">
        <v>277</v>
      </c>
      <c r="C8" s="269"/>
      <c r="D8" s="269"/>
      <c r="E8" s="269"/>
      <c r="F8" s="269"/>
      <c r="G8" s="269"/>
      <c r="H8" s="269"/>
      <c r="I8" s="269"/>
      <c r="J8" s="277"/>
      <c r="K8" s="277"/>
      <c r="L8" s="269"/>
      <c r="M8" s="269"/>
      <c r="N8" s="269"/>
      <c r="P8" s="270"/>
      <c r="Q8" s="5"/>
      <c r="R8" s="19"/>
      <c r="S8" s="270"/>
      <c r="T8" s="5"/>
    </row>
    <row r="9" spans="1:23" customFormat="1">
      <c r="A9" s="284"/>
      <c r="B9" s="7" t="s">
        <v>276</v>
      </c>
      <c r="C9" s="269"/>
      <c r="D9" s="269"/>
      <c r="E9" s="269"/>
      <c r="F9" s="269"/>
      <c r="G9" s="269"/>
      <c r="H9" s="269"/>
      <c r="I9" s="269"/>
      <c r="J9" s="277"/>
      <c r="K9" s="277"/>
      <c r="L9" s="269"/>
      <c r="M9" s="269"/>
      <c r="N9" s="269"/>
      <c r="P9" s="270"/>
      <c r="Q9" s="5"/>
      <c r="R9" s="19"/>
      <c r="S9" s="270"/>
      <c r="T9" s="5"/>
    </row>
    <row r="10" spans="1:23" customFormat="1">
      <c r="A10" s="284"/>
      <c r="B10" s="7" t="s">
        <v>131</v>
      </c>
      <c r="C10" s="269"/>
      <c r="D10" s="269"/>
      <c r="E10" s="269"/>
      <c r="F10" s="269"/>
      <c r="G10" s="269"/>
      <c r="H10" s="269"/>
      <c r="I10" s="269"/>
      <c r="J10" s="277"/>
      <c r="K10" s="277"/>
      <c r="L10" s="269"/>
      <c r="M10" s="269"/>
      <c r="N10" s="269"/>
      <c r="P10" s="270"/>
      <c r="Q10" s="5"/>
      <c r="R10" s="19"/>
      <c r="S10" s="270"/>
      <c r="T10" s="5"/>
    </row>
    <row r="11" spans="1:23" ht="11.25" customHeight="1">
      <c r="B11" s="32"/>
      <c r="E11" s="41"/>
      <c r="F11" s="41"/>
      <c r="G11" s="41"/>
      <c r="H11" s="41"/>
      <c r="I11" s="41"/>
      <c r="J11" s="41"/>
      <c r="K11" s="41"/>
      <c r="L11" s="41"/>
      <c r="M11" s="41"/>
      <c r="N11" s="71"/>
      <c r="Q11" s="65"/>
    </row>
    <row r="12" spans="1:23" ht="15" customHeight="1">
      <c r="B12" s="7" t="s">
        <v>245</v>
      </c>
      <c r="E12" s="41"/>
      <c r="F12" s="41"/>
      <c r="G12" s="41"/>
      <c r="H12" s="41"/>
      <c r="I12" s="41"/>
      <c r="J12" s="41"/>
      <c r="K12" s="41"/>
      <c r="L12" s="41"/>
      <c r="M12" s="41"/>
      <c r="N12" s="71"/>
      <c r="Q12" s="65" t="s">
        <v>15</v>
      </c>
      <c r="R12" s="7" t="s">
        <v>15</v>
      </c>
      <c r="S12" s="7" t="s">
        <v>15</v>
      </c>
    </row>
    <row r="13" spans="1:23" ht="15" customHeight="1">
      <c r="C13" s="7">
        <v>1</v>
      </c>
      <c r="D13" s="7" t="s">
        <v>2</v>
      </c>
      <c r="E13" s="291">
        <v>900</v>
      </c>
      <c r="F13" s="291" t="s">
        <v>135</v>
      </c>
      <c r="G13" s="291">
        <v>868</v>
      </c>
      <c r="H13" s="238" t="s">
        <v>2</v>
      </c>
      <c r="I13" s="291">
        <v>500</v>
      </c>
      <c r="J13" s="291" t="s">
        <v>135</v>
      </c>
      <c r="K13" s="291">
        <v>468</v>
      </c>
      <c r="L13" s="41" t="s">
        <v>2</v>
      </c>
      <c r="M13" s="41">
        <v>8</v>
      </c>
      <c r="N13" s="227" t="s">
        <v>21</v>
      </c>
      <c r="O13" s="63">
        <f>T14*V14*M13</f>
        <v>3422848</v>
      </c>
      <c r="P13" s="7" t="s">
        <v>167</v>
      </c>
      <c r="Q13" s="65"/>
      <c r="T13" s="280">
        <f>E13+G13</f>
        <v>1768</v>
      </c>
      <c r="V13" s="41">
        <f>I13+K13</f>
        <v>968</v>
      </c>
    </row>
    <row r="14" spans="1:23" ht="15" customHeight="1">
      <c r="E14" s="918">
        <v>2</v>
      </c>
      <c r="F14" s="918"/>
      <c r="G14" s="918"/>
      <c r="H14" s="41"/>
      <c r="I14" s="918">
        <v>2</v>
      </c>
      <c r="J14" s="918"/>
      <c r="K14" s="918"/>
      <c r="L14" s="41"/>
      <c r="M14" s="41"/>
      <c r="N14" s="71"/>
      <c r="O14" s="63"/>
      <c r="Q14" s="65"/>
      <c r="T14" s="292">
        <f>T13/2</f>
        <v>884</v>
      </c>
      <c r="U14" s="280" t="s">
        <v>2</v>
      </c>
      <c r="V14" s="292">
        <f>V13/2</f>
        <v>484</v>
      </c>
      <c r="W14" s="41"/>
    </row>
    <row r="15" spans="1:23" ht="14.25" customHeight="1">
      <c r="B15" s="7" t="s">
        <v>248</v>
      </c>
      <c r="E15" s="41"/>
      <c r="F15" s="41"/>
      <c r="G15" s="41"/>
      <c r="H15" s="41"/>
      <c r="I15" s="41"/>
      <c r="J15" s="41"/>
      <c r="K15" s="41"/>
      <c r="L15" s="41"/>
      <c r="M15" s="41"/>
      <c r="N15" s="227"/>
      <c r="O15" s="63"/>
      <c r="Q15" s="65" t="s">
        <v>15</v>
      </c>
      <c r="R15" s="7" t="s">
        <v>15</v>
      </c>
      <c r="S15" s="7" t="s">
        <v>15</v>
      </c>
    </row>
    <row r="16" spans="1:23" ht="15" customHeight="1">
      <c r="C16" s="7">
        <v>1</v>
      </c>
      <c r="D16" s="7" t="s">
        <v>2</v>
      </c>
      <c r="E16" s="291">
        <f>E13</f>
        <v>900</v>
      </c>
      <c r="F16" s="291" t="s">
        <v>135</v>
      </c>
      <c r="G16" s="291">
        <v>882</v>
      </c>
      <c r="H16" s="238" t="s">
        <v>2</v>
      </c>
      <c r="I16" s="291">
        <f>I13</f>
        <v>500</v>
      </c>
      <c r="J16" s="291" t="s">
        <v>135</v>
      </c>
      <c r="K16" s="291">
        <v>482</v>
      </c>
      <c r="L16" s="41" t="s">
        <v>2</v>
      </c>
      <c r="M16" s="41">
        <v>4.5</v>
      </c>
      <c r="N16" s="227" t="s">
        <v>21</v>
      </c>
      <c r="O16" s="63">
        <f>T17*V17*M16</f>
        <v>1968664.5</v>
      </c>
      <c r="P16" s="7" t="s">
        <v>167</v>
      </c>
      <c r="Q16" s="65"/>
      <c r="T16" s="280">
        <f>E16+G16</f>
        <v>1782</v>
      </c>
      <c r="V16" s="41">
        <f>I16+K16</f>
        <v>982</v>
      </c>
    </row>
    <row r="17" spans="1:22" ht="15" customHeight="1">
      <c r="E17" s="918">
        <v>2</v>
      </c>
      <c r="F17" s="918"/>
      <c r="G17" s="918"/>
      <c r="H17" s="41"/>
      <c r="I17" s="918">
        <v>2</v>
      </c>
      <c r="J17" s="918"/>
      <c r="K17" s="918"/>
      <c r="L17" s="41"/>
      <c r="M17" s="41"/>
      <c r="N17" s="227"/>
      <c r="O17" s="63"/>
      <c r="Q17" s="65"/>
      <c r="T17" s="292">
        <f>T16/2</f>
        <v>891</v>
      </c>
      <c r="U17" s="293" t="s">
        <v>2</v>
      </c>
      <c r="V17" s="292">
        <f>V16/2</f>
        <v>491</v>
      </c>
    </row>
    <row r="18" spans="1:22" ht="14.25" customHeight="1">
      <c r="B18" s="7" t="s">
        <v>249</v>
      </c>
      <c r="E18" s="41"/>
      <c r="F18" s="41"/>
      <c r="G18" s="41"/>
      <c r="H18" s="41"/>
      <c r="I18" s="41"/>
      <c r="J18" s="41"/>
      <c r="K18" s="41"/>
      <c r="L18" s="41"/>
      <c r="M18" s="41"/>
      <c r="N18" s="227"/>
      <c r="O18" s="63"/>
      <c r="Q18" s="65" t="s">
        <v>15</v>
      </c>
      <c r="R18" s="7" t="s">
        <v>15</v>
      </c>
      <c r="S18" s="7" t="s">
        <v>15</v>
      </c>
    </row>
    <row r="19" spans="1:22" ht="15" customHeight="1">
      <c r="C19" s="7">
        <v>1</v>
      </c>
      <c r="D19" s="7" t="s">
        <v>2</v>
      </c>
      <c r="E19" s="291">
        <f>E16</f>
        <v>900</v>
      </c>
      <c r="F19" s="291" t="s">
        <v>135</v>
      </c>
      <c r="G19" s="291">
        <v>884</v>
      </c>
      <c r="H19" s="238" t="s">
        <v>2</v>
      </c>
      <c r="I19" s="291">
        <f>I16</f>
        <v>500</v>
      </c>
      <c r="J19" s="291" t="s">
        <v>135</v>
      </c>
      <c r="K19" s="291">
        <v>484</v>
      </c>
      <c r="L19" s="41" t="s">
        <v>2</v>
      </c>
      <c r="M19" s="41">
        <v>4</v>
      </c>
      <c r="N19" s="227" t="s">
        <v>21</v>
      </c>
      <c r="O19" s="63">
        <f>T20*V20*M19</f>
        <v>1755456</v>
      </c>
      <c r="P19" s="7" t="s">
        <v>167</v>
      </c>
      <c r="Q19" s="65"/>
      <c r="T19" s="280">
        <f>E19+G19</f>
        <v>1784</v>
      </c>
      <c r="V19" s="41">
        <f>I19+K19</f>
        <v>984</v>
      </c>
    </row>
    <row r="20" spans="1:22" ht="15" customHeight="1">
      <c r="E20" s="918">
        <v>2</v>
      </c>
      <c r="F20" s="918"/>
      <c r="G20" s="918"/>
      <c r="H20" s="41"/>
      <c r="I20" s="918">
        <v>2</v>
      </c>
      <c r="J20" s="918"/>
      <c r="K20" s="918"/>
      <c r="L20" s="41"/>
      <c r="M20" s="41"/>
      <c r="N20" s="227"/>
      <c r="O20" s="296"/>
      <c r="Q20" s="65"/>
      <c r="T20" s="292">
        <f>T19/2</f>
        <v>892</v>
      </c>
      <c r="U20" s="293" t="s">
        <v>2</v>
      </c>
      <c r="V20" s="292">
        <f>V19/2</f>
        <v>492</v>
      </c>
    </row>
    <row r="21" spans="1:22" ht="15" customHeight="1">
      <c r="E21" s="279"/>
      <c r="F21" s="279"/>
      <c r="G21" s="279"/>
      <c r="H21" s="41"/>
      <c r="I21" s="279"/>
      <c r="J21" s="279"/>
      <c r="K21" s="279"/>
      <c r="L21" s="41"/>
      <c r="M21" s="41"/>
      <c r="N21" s="227" t="s">
        <v>21</v>
      </c>
      <c r="O21" s="82">
        <f>SUM(O13:O20)</f>
        <v>7146968.5</v>
      </c>
      <c r="P21" s="7" t="s">
        <v>167</v>
      </c>
      <c r="Q21" s="65"/>
      <c r="T21" s="310"/>
      <c r="U21" s="311"/>
      <c r="V21" s="310"/>
    </row>
    <row r="22" spans="1:22" s="73" customFormat="1" ht="15" customHeight="1">
      <c r="A22" s="294"/>
      <c r="B22" s="73" t="s">
        <v>246</v>
      </c>
      <c r="C22" s="922">
        <f>O21</f>
        <v>7146968.5</v>
      </c>
      <c r="D22" s="922"/>
      <c r="E22" s="922"/>
      <c r="F22" s="66" t="s">
        <v>167</v>
      </c>
      <c r="G22" s="66"/>
      <c r="H22" s="66"/>
      <c r="I22" s="297" t="s">
        <v>188</v>
      </c>
      <c r="J22" s="926">
        <v>3000</v>
      </c>
      <c r="K22" s="926"/>
      <c r="L22" s="66"/>
      <c r="M22" s="66" t="s">
        <v>247</v>
      </c>
      <c r="N22" s="103"/>
      <c r="P22" s="73" t="s">
        <v>5</v>
      </c>
      <c r="Q22" s="82">
        <f>C22*J22/1000</f>
        <v>21440905.5</v>
      </c>
    </row>
    <row r="23" spans="1:22" ht="15" customHeight="1">
      <c r="B23" s="68"/>
      <c r="C23" s="69"/>
      <c r="D23" s="69"/>
      <c r="E23" s="68"/>
      <c r="F23" s="41"/>
      <c r="G23" s="41"/>
      <c r="H23" s="41"/>
      <c r="I23" s="41"/>
      <c r="J23" s="41"/>
      <c r="K23" s="41"/>
      <c r="L23" s="41"/>
      <c r="M23" s="272"/>
      <c r="N23" s="227"/>
      <c r="Q23" s="72"/>
    </row>
    <row r="24" spans="1:22" customFormat="1">
      <c r="A24" s="284">
        <v>2</v>
      </c>
      <c r="B24" s="7" t="s">
        <v>280</v>
      </c>
      <c r="C24" s="269"/>
      <c r="D24" s="269"/>
      <c r="E24" s="269"/>
      <c r="F24" s="269"/>
      <c r="G24" s="269"/>
      <c r="H24" s="269"/>
      <c r="I24" s="269"/>
      <c r="J24" s="277"/>
      <c r="K24" s="277"/>
      <c r="L24" s="269"/>
      <c r="M24" s="269"/>
      <c r="N24" s="269"/>
      <c r="P24" s="270"/>
      <c r="Q24" s="5"/>
      <c r="R24" s="19"/>
      <c r="S24" s="270"/>
      <c r="T24" s="5"/>
    </row>
    <row r="25" spans="1:22" customFormat="1">
      <c r="A25" s="284"/>
      <c r="B25" s="7" t="s">
        <v>250</v>
      </c>
      <c r="C25" s="269"/>
      <c r="D25" s="269"/>
      <c r="E25" s="269"/>
      <c r="F25" s="269"/>
      <c r="G25" s="269"/>
      <c r="H25" s="269"/>
      <c r="I25" s="269"/>
      <c r="J25" s="277"/>
      <c r="K25" s="277"/>
      <c r="L25" s="269"/>
      <c r="M25" s="269"/>
      <c r="N25" s="269"/>
      <c r="P25" s="270"/>
      <c r="Q25" s="5"/>
      <c r="R25" s="19"/>
      <c r="S25" s="270"/>
      <c r="T25" s="5"/>
    </row>
    <row r="26" spans="1:22" customFormat="1">
      <c r="A26" s="284"/>
      <c r="B26" s="7"/>
      <c r="C26" s="277"/>
      <c r="D26" s="277"/>
      <c r="E26" s="277"/>
      <c r="F26" s="277"/>
      <c r="G26" s="277"/>
      <c r="H26" s="277"/>
      <c r="I26" s="277"/>
      <c r="J26" s="277"/>
      <c r="K26" s="277"/>
      <c r="L26" s="277"/>
      <c r="M26" s="277"/>
      <c r="N26" s="277"/>
      <c r="P26" s="278"/>
      <c r="Q26" s="5"/>
      <c r="R26" s="19"/>
      <c r="S26" s="278"/>
      <c r="T26" s="5"/>
    </row>
    <row r="27" spans="1:22" customFormat="1">
      <c r="A27" s="284"/>
      <c r="B27" s="7" t="s">
        <v>251</v>
      </c>
      <c r="C27" s="7">
        <v>2</v>
      </c>
      <c r="D27" s="7" t="s">
        <v>2</v>
      </c>
      <c r="E27" s="332">
        <v>1604</v>
      </c>
      <c r="F27" s="291" t="s">
        <v>135</v>
      </c>
      <c r="G27" s="332">
        <v>1588</v>
      </c>
      <c r="H27" s="238" t="s">
        <v>2</v>
      </c>
      <c r="I27" s="291">
        <v>10</v>
      </c>
      <c r="J27" s="291" t="s">
        <v>135</v>
      </c>
      <c r="K27" s="291">
        <v>26</v>
      </c>
      <c r="L27" s="41" t="s">
        <v>2</v>
      </c>
      <c r="M27" s="41">
        <v>4</v>
      </c>
      <c r="N27" s="227" t="s">
        <v>21</v>
      </c>
      <c r="O27" s="306">
        <f>C27*T28*V28*M27</f>
        <v>229824</v>
      </c>
      <c r="P27" s="7" t="s">
        <v>167</v>
      </c>
      <c r="Q27" s="65"/>
      <c r="R27" s="7"/>
      <c r="S27" s="7"/>
      <c r="T27" s="280">
        <f>E27+G27</f>
        <v>3192</v>
      </c>
      <c r="U27" s="7"/>
      <c r="V27" s="41">
        <f>I27+K27</f>
        <v>36</v>
      </c>
    </row>
    <row r="28" spans="1:22" customFormat="1">
      <c r="A28" s="284"/>
      <c r="B28" s="7"/>
      <c r="C28" s="7"/>
      <c r="D28" s="7"/>
      <c r="E28" s="918">
        <v>2</v>
      </c>
      <c r="F28" s="918"/>
      <c r="G28" s="918"/>
      <c r="H28" s="41"/>
      <c r="I28" s="918">
        <v>2</v>
      </c>
      <c r="J28" s="918"/>
      <c r="K28" s="918"/>
      <c r="L28" s="41"/>
      <c r="M28" s="41"/>
      <c r="N28" s="227"/>
      <c r="O28" s="306"/>
      <c r="P28" s="7"/>
      <c r="Q28" s="65"/>
      <c r="R28" s="7"/>
      <c r="S28" s="7"/>
      <c r="T28" s="292">
        <f>T27/2</f>
        <v>1596</v>
      </c>
      <c r="U28" s="293" t="s">
        <v>2</v>
      </c>
      <c r="V28" s="292">
        <f>V27/2</f>
        <v>18</v>
      </c>
    </row>
    <row r="29" spans="1:22" customFormat="1">
      <c r="A29" s="284"/>
      <c r="B29" s="7" t="s">
        <v>252</v>
      </c>
      <c r="C29" s="7">
        <v>4</v>
      </c>
      <c r="D29" s="7" t="s">
        <v>2</v>
      </c>
      <c r="E29" s="291">
        <v>916</v>
      </c>
      <c r="F29" s="291" t="s">
        <v>135</v>
      </c>
      <c r="G29" s="291">
        <v>900</v>
      </c>
      <c r="H29" s="238" t="s">
        <v>2</v>
      </c>
      <c r="I29" s="291">
        <v>10</v>
      </c>
      <c r="J29" s="291" t="s">
        <v>135</v>
      </c>
      <c r="K29" s="291">
        <v>26</v>
      </c>
      <c r="L29" s="41" t="s">
        <v>2</v>
      </c>
      <c r="M29" s="41">
        <v>4</v>
      </c>
      <c r="N29" s="227" t="s">
        <v>21</v>
      </c>
      <c r="O29" s="309">
        <f>C29*T30*V30*M29</f>
        <v>261504</v>
      </c>
      <c r="P29" s="7" t="s">
        <v>167</v>
      </c>
      <c r="Q29" s="65"/>
      <c r="R29" s="7"/>
      <c r="S29" s="7"/>
      <c r="T29" s="280">
        <f>E29+G29</f>
        <v>1816</v>
      </c>
      <c r="U29" s="7"/>
      <c r="V29" s="41">
        <f>I29+K29</f>
        <v>36</v>
      </c>
    </row>
    <row r="30" spans="1:22" customFormat="1">
      <c r="A30" s="284"/>
      <c r="B30" s="7"/>
      <c r="C30" s="7"/>
      <c r="D30" s="7"/>
      <c r="E30" s="918">
        <v>2</v>
      </c>
      <c r="F30" s="918"/>
      <c r="G30" s="918"/>
      <c r="H30" s="41"/>
      <c r="I30" s="918">
        <v>2</v>
      </c>
      <c r="J30" s="918"/>
      <c r="K30" s="918"/>
      <c r="L30" s="41"/>
      <c r="M30" s="41"/>
      <c r="N30" s="227" t="s">
        <v>21</v>
      </c>
      <c r="O30" s="307">
        <f>SUM(O27:O29)</f>
        <v>491328</v>
      </c>
      <c r="P30" s="7"/>
      <c r="Q30" s="65"/>
      <c r="R30" s="7"/>
      <c r="S30" s="7"/>
      <c r="T30" s="292">
        <f>T29/2</f>
        <v>908</v>
      </c>
      <c r="U30" s="293" t="s">
        <v>2</v>
      </c>
      <c r="V30" s="292">
        <f>V29/2</f>
        <v>18</v>
      </c>
    </row>
    <row r="31" spans="1:22" customFormat="1">
      <c r="A31" s="284"/>
      <c r="B31" s="7"/>
      <c r="C31" s="7"/>
      <c r="D31" s="7"/>
      <c r="E31" s="279"/>
      <c r="F31" s="279"/>
      <c r="G31" s="279"/>
      <c r="H31" s="41"/>
      <c r="I31" s="279"/>
      <c r="J31" s="279"/>
      <c r="K31" s="279"/>
      <c r="L31" s="41"/>
      <c r="M31" s="41"/>
      <c r="N31" s="227"/>
      <c r="O31" s="73"/>
      <c r="P31" s="7"/>
      <c r="Q31" s="65"/>
      <c r="R31" s="7"/>
      <c r="S31" s="7"/>
      <c r="T31" s="310"/>
      <c r="U31" s="311"/>
      <c r="V31" s="310"/>
    </row>
    <row r="32" spans="1:22" ht="15" customHeight="1">
      <c r="B32" s="7" t="s">
        <v>246</v>
      </c>
      <c r="C32" s="919">
        <f>O30</f>
        <v>491328</v>
      </c>
      <c r="D32" s="920"/>
      <c r="E32" s="920"/>
      <c r="F32" s="41" t="s">
        <v>167</v>
      </c>
      <c r="G32" s="41"/>
      <c r="H32" s="41"/>
      <c r="I32" s="290" t="s">
        <v>188</v>
      </c>
      <c r="J32" s="921">
        <v>263</v>
      </c>
      <c r="K32" s="921"/>
      <c r="L32" s="41"/>
      <c r="M32" s="41" t="s">
        <v>247</v>
      </c>
      <c r="N32" s="227"/>
      <c r="P32" s="7" t="s">
        <v>5</v>
      </c>
      <c r="Q32" s="72">
        <f>C32*J32/1000</f>
        <v>129219.264</v>
      </c>
    </row>
    <row r="33" spans="1:19" ht="15" customHeight="1">
      <c r="B33" s="68"/>
      <c r="C33" s="69"/>
      <c r="D33" s="69"/>
      <c r="E33" s="68"/>
      <c r="F33" s="41"/>
      <c r="G33" s="41"/>
      <c r="H33" s="41"/>
      <c r="I33" s="41"/>
      <c r="J33" s="41"/>
      <c r="K33" s="41"/>
      <c r="L33" s="41"/>
      <c r="M33" s="272"/>
      <c r="N33" s="227"/>
      <c r="Q33" s="72"/>
    </row>
    <row r="34" spans="1:19" ht="15" customHeight="1">
      <c r="B34" s="924" t="s">
        <v>272</v>
      </c>
      <c r="C34" s="924"/>
      <c r="D34" s="924"/>
      <c r="E34" s="924"/>
      <c r="F34" s="924"/>
      <c r="G34" s="924"/>
      <c r="H34" s="41"/>
      <c r="I34" s="41"/>
      <c r="J34" s="41"/>
      <c r="K34" s="41"/>
      <c r="L34" s="41"/>
      <c r="M34" s="272"/>
      <c r="N34" s="227"/>
      <c r="Q34" s="72"/>
    </row>
    <row r="35" spans="1:19" ht="15" customHeight="1">
      <c r="A35" s="287">
        <v>1</v>
      </c>
      <c r="B35" s="7" t="s">
        <v>95</v>
      </c>
      <c r="E35" s="281"/>
      <c r="Q35" s="65"/>
    </row>
    <row r="36" spans="1:19" ht="15" customHeight="1">
      <c r="B36" s="7" t="s">
        <v>278</v>
      </c>
      <c r="E36" s="281"/>
      <c r="Q36" s="65"/>
    </row>
    <row r="37" spans="1:19" ht="15" customHeight="1">
      <c r="B37" s="7" t="s">
        <v>279</v>
      </c>
      <c r="E37" s="281"/>
      <c r="Q37" s="65"/>
    </row>
    <row r="38" spans="1:19" ht="15" customHeight="1">
      <c r="E38" s="281"/>
      <c r="H38" s="63">
        <v>2</v>
      </c>
      <c r="Q38" s="65"/>
    </row>
    <row r="39" spans="1:19" ht="15" customHeight="1">
      <c r="C39" s="283">
        <v>2</v>
      </c>
      <c r="D39" s="7" t="s">
        <v>2</v>
      </c>
      <c r="E39" s="293">
        <v>0.78500000000000003</v>
      </c>
      <c r="F39" s="7" t="s">
        <v>2</v>
      </c>
      <c r="G39" s="299">
        <v>8</v>
      </c>
      <c r="H39" s="281" t="s">
        <v>2</v>
      </c>
      <c r="I39" s="41">
        <v>5</v>
      </c>
      <c r="K39" s="238"/>
      <c r="L39" s="7" t="s">
        <v>3</v>
      </c>
      <c r="M39" s="41"/>
      <c r="N39" s="63"/>
      <c r="O39" s="227">
        <f>C39*E39*G39*I39*G39</f>
        <v>502.40000000000003</v>
      </c>
      <c r="Q39" s="72"/>
    </row>
    <row r="40" spans="1:19" ht="15" customHeight="1">
      <c r="B40" s="7" t="s">
        <v>246</v>
      </c>
      <c r="C40" s="919">
        <f>O39</f>
        <v>502.40000000000003</v>
      </c>
      <c r="D40" s="920"/>
      <c r="E40" s="920"/>
      <c r="F40" s="41" t="s">
        <v>167</v>
      </c>
      <c r="G40" s="41"/>
      <c r="H40" s="41"/>
      <c r="I40" s="290" t="s">
        <v>188</v>
      </c>
      <c r="J40" s="921">
        <v>3176.25</v>
      </c>
      <c r="K40" s="921"/>
      <c r="L40" s="41"/>
      <c r="M40" s="41" t="s">
        <v>247</v>
      </c>
      <c r="N40" s="227"/>
      <c r="P40" s="7" t="s">
        <v>5</v>
      </c>
      <c r="Q40" s="72">
        <f>C40*J40/1000</f>
        <v>1595.748</v>
      </c>
    </row>
    <row r="41" spans="1:19" ht="15" customHeight="1">
      <c r="E41" s="41"/>
      <c r="F41" s="41"/>
      <c r="G41" s="41"/>
      <c r="H41" s="41"/>
      <c r="I41" s="41"/>
      <c r="J41" s="41"/>
      <c r="K41" s="41"/>
      <c r="L41" s="41"/>
      <c r="M41" s="66"/>
      <c r="N41" s="71"/>
      <c r="Q41" s="72"/>
    </row>
    <row r="42" spans="1:19" ht="15" customHeight="1">
      <c r="A42" s="287">
        <v>2</v>
      </c>
      <c r="B42" s="7" t="s">
        <v>100</v>
      </c>
      <c r="E42" s="41"/>
      <c r="F42" s="41"/>
      <c r="G42" s="41"/>
      <c r="H42" s="41"/>
      <c r="I42" s="41"/>
      <c r="J42" s="41"/>
      <c r="K42" s="41"/>
      <c r="L42" s="41"/>
      <c r="M42" s="41"/>
      <c r="N42" s="71"/>
      <c r="Q42" s="72"/>
    </row>
    <row r="43" spans="1:19" ht="15" customHeight="1">
      <c r="B43" s="7" t="s">
        <v>101</v>
      </c>
      <c r="E43" s="41"/>
      <c r="F43" s="41"/>
      <c r="G43" s="41"/>
      <c r="H43" s="41"/>
      <c r="I43" s="41"/>
      <c r="J43" s="41"/>
      <c r="K43" s="41"/>
      <c r="L43" s="41"/>
      <c r="M43" s="41"/>
      <c r="N43" s="71"/>
      <c r="Q43" s="72"/>
    </row>
    <row r="44" spans="1:19" ht="15" customHeight="1">
      <c r="C44" s="281">
        <v>2</v>
      </c>
      <c r="D44" s="7" t="s">
        <v>2</v>
      </c>
      <c r="E44" s="41">
        <v>9</v>
      </c>
      <c r="F44" s="41" t="s">
        <v>2</v>
      </c>
      <c r="G44" s="41">
        <v>4</v>
      </c>
      <c r="H44" s="41" t="s">
        <v>2</v>
      </c>
      <c r="I44" s="41">
        <v>0.5</v>
      </c>
      <c r="J44" s="41"/>
      <c r="K44" s="41"/>
      <c r="L44" s="41" t="s">
        <v>3</v>
      </c>
      <c r="M44" s="235">
        <f t="shared" ref="M44" si="0">I44*G44*E44*C44</f>
        <v>36</v>
      </c>
      <c r="N44" s="71" t="s">
        <v>18</v>
      </c>
      <c r="Q44" s="65" t="s">
        <v>15</v>
      </c>
      <c r="R44" s="7" t="s">
        <v>15</v>
      </c>
      <c r="S44" s="7" t="s">
        <v>15</v>
      </c>
    </row>
    <row r="45" spans="1:19" ht="15" customHeight="1">
      <c r="C45" s="281"/>
      <c r="E45" s="41"/>
      <c r="F45" s="41"/>
      <c r="G45" s="41"/>
      <c r="H45" s="72">
        <v>2</v>
      </c>
      <c r="I45" s="41"/>
      <c r="J45" s="41"/>
      <c r="K45" s="41"/>
      <c r="L45" s="41"/>
      <c r="M45" s="41"/>
      <c r="N45" s="71"/>
      <c r="Q45" s="65"/>
    </row>
    <row r="46" spans="1:19" ht="15" customHeight="1">
      <c r="C46" s="283">
        <f>C44</f>
        <v>2</v>
      </c>
      <c r="D46" s="7" t="s">
        <v>2</v>
      </c>
      <c r="E46" s="293">
        <v>0.78500000000000003</v>
      </c>
      <c r="F46" s="7" t="s">
        <v>2</v>
      </c>
      <c r="G46" s="299">
        <v>8</v>
      </c>
      <c r="H46" s="281" t="s">
        <v>2</v>
      </c>
      <c r="I46" s="41">
        <v>0.75</v>
      </c>
      <c r="K46" s="238"/>
      <c r="L46" s="7" t="s">
        <v>3</v>
      </c>
      <c r="M46" s="305">
        <f>E46*G46*I46*G46</f>
        <v>37.68</v>
      </c>
      <c r="N46" s="63" t="s">
        <v>167</v>
      </c>
      <c r="O46" s="227"/>
      <c r="Q46" s="72"/>
    </row>
    <row r="47" spans="1:19" ht="15" customHeight="1">
      <c r="C47" s="281"/>
      <c r="E47" s="41"/>
      <c r="F47" s="41"/>
      <c r="G47" s="41"/>
      <c r="H47" s="41"/>
      <c r="I47" s="41"/>
      <c r="J47" s="41"/>
      <c r="K47" s="41"/>
      <c r="L47" s="41" t="s">
        <v>21</v>
      </c>
      <c r="M47" s="305">
        <f>SUM(M44:M46)</f>
        <v>73.680000000000007</v>
      </c>
      <c r="N47" s="71"/>
      <c r="Q47" s="65"/>
    </row>
    <row r="48" spans="1:19" ht="15" customHeight="1">
      <c r="B48" s="7" t="s">
        <v>246</v>
      </c>
      <c r="C48" s="922">
        <f>M47</f>
        <v>73.680000000000007</v>
      </c>
      <c r="D48" s="922"/>
      <c r="E48" s="922"/>
      <c r="F48" s="41" t="s">
        <v>167</v>
      </c>
      <c r="G48" s="41"/>
      <c r="H48" s="41"/>
      <c r="I48" s="290" t="s">
        <v>188</v>
      </c>
      <c r="J48" s="921">
        <v>9416.2800000000007</v>
      </c>
      <c r="K48" s="921"/>
      <c r="L48" s="41"/>
      <c r="M48" s="41" t="s">
        <v>197</v>
      </c>
      <c r="N48" s="227"/>
      <c r="P48" s="7" t="s">
        <v>5</v>
      </c>
      <c r="Q48" s="72">
        <f>C48*J48/100</f>
        <v>6937.9151040000015</v>
      </c>
    </row>
    <row r="49" spans="1:17" ht="15" customHeight="1">
      <c r="E49" s="41"/>
      <c r="F49" s="41"/>
      <c r="G49" s="41"/>
      <c r="H49" s="41"/>
      <c r="I49" s="41"/>
      <c r="J49" s="41"/>
      <c r="K49" s="41"/>
      <c r="L49" s="41"/>
      <c r="M49" s="41"/>
      <c r="N49" s="71"/>
      <c r="Q49" s="72"/>
    </row>
    <row r="50" spans="1:17" ht="15" customHeight="1">
      <c r="A50" s="731"/>
      <c r="E50" s="41"/>
      <c r="F50" s="41"/>
      <c r="G50" s="41"/>
      <c r="H50" s="41"/>
      <c r="I50" s="41"/>
      <c r="J50" s="41"/>
      <c r="K50" s="41"/>
      <c r="L50" s="41"/>
      <c r="M50" s="41"/>
      <c r="N50" s="728"/>
      <c r="Q50" s="72"/>
    </row>
    <row r="51" spans="1:17" ht="15" customHeight="1">
      <c r="A51" s="731"/>
      <c r="E51" s="41"/>
      <c r="F51" s="41"/>
      <c r="G51" s="41"/>
      <c r="H51" s="41"/>
      <c r="I51" s="41"/>
      <c r="J51" s="41"/>
      <c r="K51" s="41"/>
      <c r="L51" s="41"/>
      <c r="M51" s="41"/>
      <c r="N51" s="728"/>
      <c r="Q51" s="72"/>
    </row>
    <row r="52" spans="1:17" ht="15" customHeight="1">
      <c r="A52" s="731"/>
      <c r="E52" s="41"/>
      <c r="F52" s="41"/>
      <c r="G52" s="41"/>
      <c r="H52" s="41"/>
      <c r="I52" s="41"/>
      <c r="J52" s="41"/>
      <c r="K52" s="41"/>
      <c r="L52" s="41"/>
      <c r="M52" s="41"/>
      <c r="N52" s="728"/>
      <c r="Q52" s="72"/>
    </row>
    <row r="53" spans="1:17" ht="15" customHeight="1">
      <c r="A53" s="306"/>
      <c r="E53" s="41"/>
      <c r="F53" s="41"/>
      <c r="G53" s="41"/>
      <c r="H53" s="41"/>
      <c r="I53" s="41"/>
      <c r="J53" s="41"/>
      <c r="K53" s="41"/>
      <c r="L53" s="41"/>
      <c r="M53" s="41"/>
      <c r="N53" s="308"/>
      <c r="Q53" s="72"/>
    </row>
    <row r="54" spans="1:17" ht="15" customHeight="1">
      <c r="A54" s="306"/>
      <c r="E54" s="41"/>
      <c r="F54" s="41"/>
      <c r="G54" s="41"/>
      <c r="H54" s="41"/>
      <c r="I54" s="41"/>
      <c r="J54" s="41"/>
      <c r="K54" s="41"/>
      <c r="L54" s="41"/>
      <c r="M54" s="41"/>
      <c r="N54" s="308"/>
      <c r="Q54" s="72"/>
    </row>
    <row r="55" spans="1:17" ht="15" customHeight="1">
      <c r="A55" s="306"/>
      <c r="E55" s="41"/>
      <c r="F55" s="41"/>
      <c r="G55" s="41"/>
      <c r="H55" s="41"/>
      <c r="I55" s="41"/>
      <c r="J55" s="41"/>
      <c r="K55" s="41"/>
      <c r="L55" s="41"/>
      <c r="M55" s="41"/>
      <c r="N55" s="308"/>
      <c r="Q55" s="72"/>
    </row>
    <row r="56" spans="1:17" ht="15" customHeight="1">
      <c r="A56" s="306"/>
      <c r="E56" s="41"/>
      <c r="F56" s="41"/>
      <c r="G56" s="41"/>
      <c r="H56" s="41"/>
      <c r="I56" s="41"/>
      <c r="J56" s="41"/>
      <c r="K56" s="41"/>
      <c r="L56" s="41"/>
      <c r="M56" s="41"/>
      <c r="N56" s="308"/>
      <c r="Q56" s="72"/>
    </row>
    <row r="57" spans="1:17" ht="15" customHeight="1">
      <c r="A57" s="287">
        <v>3</v>
      </c>
      <c r="B57" s="7" t="s">
        <v>13</v>
      </c>
      <c r="N57" s="63"/>
      <c r="Q57" s="72"/>
    </row>
    <row r="58" spans="1:17" ht="15" customHeight="1">
      <c r="B58" s="21" t="s">
        <v>104</v>
      </c>
      <c r="C58" s="21"/>
      <c r="D58" s="21"/>
      <c r="E58" s="21"/>
      <c r="F58" s="21"/>
      <c r="G58" s="21"/>
      <c r="H58" s="21"/>
      <c r="N58" s="63"/>
      <c r="Q58" s="72"/>
    </row>
    <row r="59" spans="1:17" ht="15" customHeight="1">
      <c r="B59" s="21" t="s">
        <v>105</v>
      </c>
      <c r="C59" s="21"/>
      <c r="D59" s="21"/>
      <c r="E59" s="21"/>
      <c r="F59" s="21"/>
      <c r="G59" s="21"/>
      <c r="H59" s="21"/>
      <c r="N59" s="63"/>
      <c r="Q59" s="72"/>
    </row>
    <row r="60" spans="1:17" ht="15" customHeight="1">
      <c r="B60" s="7" t="s">
        <v>106</v>
      </c>
      <c r="N60" s="63"/>
      <c r="Q60" s="72"/>
    </row>
    <row r="61" spans="1:17" ht="15" customHeight="1">
      <c r="B61" s="7" t="s">
        <v>107</v>
      </c>
      <c r="N61" s="63"/>
      <c r="Q61" s="72"/>
    </row>
    <row r="62" spans="1:17" ht="15" customHeight="1">
      <c r="B62" s="7" t="s">
        <v>108</v>
      </c>
      <c r="N62" s="63"/>
      <c r="Q62" s="72"/>
    </row>
    <row r="63" spans="1:17" ht="15" customHeight="1">
      <c r="B63" s="7" t="s">
        <v>109</v>
      </c>
      <c r="N63" s="63"/>
      <c r="Q63" s="72"/>
    </row>
    <row r="64" spans="1:17" ht="15" customHeight="1">
      <c r="N64" s="63"/>
      <c r="Q64" s="72"/>
    </row>
    <row r="65" spans="1:19" ht="15" customHeight="1">
      <c r="B65" s="7" t="s">
        <v>256</v>
      </c>
      <c r="C65" s="281">
        <v>3</v>
      </c>
      <c r="D65" s="7" t="s">
        <v>2</v>
      </c>
      <c r="E65" s="41">
        <v>8</v>
      </c>
      <c r="F65" s="41" t="s">
        <v>2</v>
      </c>
      <c r="G65" s="41">
        <v>4</v>
      </c>
      <c r="H65" s="41" t="s">
        <v>2</v>
      </c>
      <c r="I65" s="41">
        <v>0.5</v>
      </c>
      <c r="J65" s="41"/>
      <c r="K65" s="41"/>
      <c r="L65" s="41" t="s">
        <v>3</v>
      </c>
      <c r="M65" s="305">
        <f>I65*G65*E65*C65</f>
        <v>48</v>
      </c>
      <c r="N65" s="71" t="s">
        <v>18</v>
      </c>
      <c r="O65" s="41"/>
      <c r="Q65" s="65" t="s">
        <v>15</v>
      </c>
      <c r="R65" s="7" t="s">
        <v>15</v>
      </c>
      <c r="S65" s="7" t="s">
        <v>15</v>
      </c>
    </row>
    <row r="66" spans="1:19" s="80" customFormat="1" ht="23.25" customHeight="1">
      <c r="A66" s="204"/>
      <c r="B66" s="80" t="s">
        <v>220</v>
      </c>
      <c r="C66" s="333">
        <f>C44</f>
        <v>2</v>
      </c>
      <c r="D66" s="80" t="s">
        <v>2</v>
      </c>
      <c r="E66" s="336">
        <v>0.78500000000000003</v>
      </c>
      <c r="F66" s="334" t="s">
        <v>2</v>
      </c>
      <c r="G66" s="334">
        <v>7.5</v>
      </c>
      <c r="H66" s="334" t="s">
        <v>2</v>
      </c>
      <c r="I66" s="334">
        <f>G66</f>
        <v>7.5</v>
      </c>
      <c r="J66" s="334" t="s">
        <v>2</v>
      </c>
      <c r="K66" s="334">
        <v>0.75</v>
      </c>
      <c r="L66" s="334" t="s">
        <v>3</v>
      </c>
      <c r="M66" s="335">
        <f>E66*G66*I66*K66</f>
        <v>33.1171875</v>
      </c>
      <c r="N66" s="253" t="s">
        <v>18</v>
      </c>
      <c r="O66" s="334"/>
      <c r="Q66" s="254"/>
    </row>
    <row r="67" spans="1:19" s="80" customFormat="1" ht="27.75" customHeight="1">
      <c r="A67" s="204"/>
      <c r="B67" s="80" t="s">
        <v>257</v>
      </c>
      <c r="C67" s="333">
        <f>C66</f>
        <v>2</v>
      </c>
      <c r="D67" s="80" t="s">
        <v>2</v>
      </c>
      <c r="E67" s="334">
        <v>3.14</v>
      </c>
      <c r="F67" s="334" t="s">
        <v>2</v>
      </c>
      <c r="G67" s="334">
        <v>6.75</v>
      </c>
      <c r="H67" s="334" t="s">
        <v>2</v>
      </c>
      <c r="I67" s="334">
        <v>0.75</v>
      </c>
      <c r="J67" s="334" t="s">
        <v>2</v>
      </c>
      <c r="K67" s="334">
        <v>10</v>
      </c>
      <c r="L67" s="334" t="s">
        <v>3</v>
      </c>
      <c r="M67" s="335">
        <f>E67*G67*I67*K67</f>
        <v>158.96250000000001</v>
      </c>
      <c r="N67" s="253" t="s">
        <v>18</v>
      </c>
      <c r="O67" s="334"/>
      <c r="Q67" s="254"/>
    </row>
    <row r="68" spans="1:19" ht="15" customHeight="1">
      <c r="E68" s="41"/>
      <c r="F68" s="925"/>
      <c r="G68" s="925"/>
      <c r="H68" s="41"/>
      <c r="I68" s="41"/>
      <c r="J68" s="41"/>
      <c r="K68" s="41"/>
      <c r="L68" s="41" t="s">
        <v>21</v>
      </c>
      <c r="M68" s="305">
        <f>SUM(M65:M67)</f>
        <v>240.07968750000001</v>
      </c>
      <c r="N68" s="308" t="s">
        <v>18</v>
      </c>
      <c r="O68" s="41"/>
      <c r="Q68" s="72"/>
    </row>
    <row r="69" spans="1:19" ht="15" customHeight="1">
      <c r="B69" s="7" t="s">
        <v>246</v>
      </c>
      <c r="C69" s="922">
        <f>M68</f>
        <v>240.07968750000001</v>
      </c>
      <c r="D69" s="922"/>
      <c r="E69" s="922"/>
      <c r="F69" s="41" t="s">
        <v>167</v>
      </c>
      <c r="G69" s="41"/>
      <c r="H69" s="41"/>
      <c r="I69" s="290" t="s">
        <v>188</v>
      </c>
      <c r="J69" s="921">
        <v>337</v>
      </c>
      <c r="K69" s="921"/>
      <c r="L69" s="41"/>
      <c r="M69" s="41" t="s">
        <v>258</v>
      </c>
      <c r="N69" s="295"/>
      <c r="P69" s="7" t="s">
        <v>5</v>
      </c>
      <c r="Q69" s="72">
        <f>C69*J69</f>
        <v>80906.854687500003</v>
      </c>
    </row>
    <row r="70" spans="1:19" ht="15" customHeight="1">
      <c r="E70" s="41"/>
      <c r="F70" s="286"/>
      <c r="G70" s="286"/>
      <c r="H70" s="41"/>
      <c r="I70" s="41"/>
      <c r="J70" s="41"/>
      <c r="K70" s="41"/>
      <c r="L70" s="41"/>
      <c r="M70" s="41"/>
      <c r="N70" s="295"/>
      <c r="O70" s="41"/>
      <c r="Q70" s="72"/>
    </row>
    <row r="71" spans="1:19" ht="15" customHeight="1">
      <c r="A71" s="289">
        <v>4</v>
      </c>
      <c r="B71" s="7" t="s">
        <v>110</v>
      </c>
      <c r="E71" s="41"/>
      <c r="F71" s="41"/>
      <c r="G71" s="41"/>
      <c r="H71" s="41"/>
      <c r="I71" s="41"/>
      <c r="J71" s="41"/>
      <c r="K71" s="41"/>
      <c r="L71" s="41"/>
      <c r="M71" s="41"/>
      <c r="N71" s="71"/>
      <c r="O71" s="41"/>
      <c r="Q71" s="72"/>
    </row>
    <row r="72" spans="1:19" ht="15" customHeight="1">
      <c r="A72" s="289"/>
      <c r="B72" s="7" t="s">
        <v>111</v>
      </c>
      <c r="E72" s="41"/>
      <c r="F72" s="41"/>
      <c r="G72" s="41"/>
      <c r="H72" s="41"/>
      <c r="I72" s="41"/>
      <c r="J72" s="41"/>
      <c r="K72" s="41"/>
      <c r="L72" s="41"/>
      <c r="M72" s="41"/>
      <c r="N72" s="71"/>
      <c r="O72" s="41"/>
      <c r="Q72" s="72"/>
    </row>
    <row r="73" spans="1:19" ht="15" customHeight="1">
      <c r="A73" s="289"/>
      <c r="B73" s="7" t="s">
        <v>112</v>
      </c>
      <c r="E73" s="41"/>
      <c r="F73" s="41"/>
      <c r="G73" s="41"/>
      <c r="H73" s="41"/>
      <c r="I73" s="41"/>
      <c r="J73" s="41"/>
      <c r="K73" s="41"/>
      <c r="L73" s="41"/>
      <c r="M73" s="41"/>
      <c r="N73" s="71"/>
      <c r="O73" s="41"/>
      <c r="Q73" s="72"/>
    </row>
    <row r="74" spans="1:19" ht="15" customHeight="1">
      <c r="B74" s="78">
        <f>M68</f>
        <v>240.07968750000001</v>
      </c>
      <c r="C74" s="7" t="s">
        <v>2</v>
      </c>
      <c r="E74" s="41">
        <v>4.5</v>
      </c>
      <c r="F74" s="41" t="s">
        <v>31</v>
      </c>
      <c r="G74" s="923">
        <v>112</v>
      </c>
      <c r="H74" s="923"/>
      <c r="I74" s="41"/>
      <c r="J74" s="41"/>
      <c r="K74" s="41"/>
      <c r="L74" s="41" t="s">
        <v>3</v>
      </c>
      <c r="M74" s="41">
        <f>(B74*E74)/G74</f>
        <v>9.6460588727678562</v>
      </c>
      <c r="N74" s="71" t="s">
        <v>9</v>
      </c>
      <c r="O74" s="41"/>
      <c r="Q74" s="72"/>
    </row>
    <row r="75" spans="1:19" ht="15" customHeight="1">
      <c r="B75" s="7" t="s">
        <v>246</v>
      </c>
      <c r="C75" s="922">
        <f>M74</f>
        <v>9.6460588727678562</v>
      </c>
      <c r="D75" s="922"/>
      <c r="E75" s="922"/>
      <c r="F75" s="41" t="s">
        <v>184</v>
      </c>
      <c r="G75" s="41"/>
      <c r="H75" s="41"/>
      <c r="I75" s="290" t="s">
        <v>188</v>
      </c>
      <c r="J75" s="921">
        <v>5001.7</v>
      </c>
      <c r="K75" s="921"/>
      <c r="L75" s="41"/>
      <c r="M75" s="41" t="s">
        <v>259</v>
      </c>
      <c r="N75" s="295"/>
      <c r="P75" s="7" t="s">
        <v>5</v>
      </c>
      <c r="Q75" s="72">
        <f>C75*J75</f>
        <v>48246.692663922986</v>
      </c>
    </row>
    <row r="76" spans="1:19" ht="15" customHeight="1">
      <c r="E76" s="41"/>
      <c r="F76" s="41"/>
      <c r="G76" s="41"/>
      <c r="H76" s="41"/>
      <c r="I76" s="41"/>
      <c r="J76" s="41"/>
      <c r="K76" s="41"/>
      <c r="L76" s="41"/>
      <c r="M76" s="41"/>
      <c r="N76" s="71"/>
      <c r="O76" s="41"/>
      <c r="Q76" s="72"/>
    </row>
    <row r="77" spans="1:19" ht="15" customHeight="1">
      <c r="A77" s="289">
        <v>5</v>
      </c>
      <c r="B77" s="7" t="s">
        <v>260</v>
      </c>
      <c r="E77" s="41"/>
      <c r="F77" s="41"/>
      <c r="G77" s="41"/>
      <c r="H77" s="41"/>
      <c r="I77" s="41"/>
      <c r="J77" s="41"/>
      <c r="K77" s="41"/>
      <c r="L77" s="41"/>
      <c r="M77" s="41"/>
      <c r="N77" s="71"/>
      <c r="O77" s="41"/>
      <c r="Q77" s="72"/>
    </row>
    <row r="78" spans="1:19" ht="18.75" customHeight="1">
      <c r="B78" s="7" t="s">
        <v>246</v>
      </c>
      <c r="C78" s="922">
        <v>48</v>
      </c>
      <c r="D78" s="922"/>
      <c r="E78" s="922"/>
      <c r="F78" s="41" t="s">
        <v>167</v>
      </c>
      <c r="G78" s="41"/>
      <c r="H78" s="41"/>
      <c r="I78" s="290" t="s">
        <v>188</v>
      </c>
      <c r="J78" s="921">
        <v>350</v>
      </c>
      <c r="K78" s="921"/>
      <c r="L78" s="41"/>
      <c r="M78" s="41" t="s">
        <v>258</v>
      </c>
      <c r="N78" s="295"/>
      <c r="P78" s="7" t="s">
        <v>5</v>
      </c>
      <c r="Q78" s="72">
        <f>C78*J78</f>
        <v>16800</v>
      </c>
    </row>
    <row r="79" spans="1:19" ht="15" customHeight="1">
      <c r="A79" s="289"/>
      <c r="E79" s="41"/>
      <c r="F79" s="41"/>
      <c r="G79" s="41"/>
      <c r="H79" s="41"/>
      <c r="I79" s="41"/>
      <c r="J79" s="41"/>
      <c r="K79" s="41"/>
      <c r="L79" s="41"/>
      <c r="M79" s="41"/>
      <c r="N79" s="71"/>
      <c r="O79" s="41"/>
      <c r="Q79" s="72"/>
    </row>
    <row r="80" spans="1:19" customFormat="1">
      <c r="A80" s="284">
        <v>6</v>
      </c>
      <c r="B80" s="7" t="s">
        <v>87</v>
      </c>
      <c r="C80" s="284"/>
      <c r="D80" s="284"/>
      <c r="E80" s="284"/>
      <c r="F80" s="284"/>
      <c r="G80" s="284"/>
      <c r="H80" s="284"/>
      <c r="I80" s="284"/>
      <c r="J80" s="284"/>
      <c r="K80" s="284"/>
      <c r="L80" s="284"/>
      <c r="N80" s="285"/>
      <c r="O80" s="5"/>
      <c r="P80" s="19"/>
      <c r="Q80" s="285"/>
      <c r="R80" s="5"/>
    </row>
    <row r="81" spans="1:19" customFormat="1">
      <c r="A81" s="284"/>
      <c r="B81" s="7" t="s">
        <v>80</v>
      </c>
      <c r="C81" s="284"/>
      <c r="D81" s="284"/>
      <c r="E81" s="284"/>
      <c r="F81" s="284"/>
      <c r="G81" s="284"/>
      <c r="H81" s="284"/>
      <c r="I81" s="284"/>
      <c r="J81" s="284"/>
      <c r="K81" s="284"/>
      <c r="L81" s="284"/>
      <c r="N81" s="285"/>
      <c r="O81" s="5"/>
      <c r="P81" s="19"/>
      <c r="Q81" s="285"/>
      <c r="R81" s="5"/>
    </row>
    <row r="82" spans="1:19" customFormat="1">
      <c r="A82" s="284"/>
      <c r="B82" s="7" t="s">
        <v>81</v>
      </c>
      <c r="C82" s="284"/>
      <c r="D82" s="284"/>
      <c r="E82" s="284"/>
      <c r="F82" s="284"/>
      <c r="G82" s="284"/>
      <c r="H82" s="284"/>
      <c r="I82" s="284"/>
      <c r="J82" s="284"/>
      <c r="K82" s="284"/>
      <c r="L82" s="284"/>
      <c r="N82" s="285"/>
      <c r="O82" s="5"/>
      <c r="P82" s="19"/>
      <c r="Q82" s="285"/>
      <c r="R82" s="5"/>
    </row>
    <row r="83" spans="1:19" customFormat="1">
      <c r="A83" s="284"/>
      <c r="B83" s="7" t="s">
        <v>82</v>
      </c>
      <c r="C83" s="284"/>
      <c r="D83" s="284"/>
      <c r="E83" s="284"/>
      <c r="F83" s="284"/>
      <c r="G83" s="284"/>
      <c r="H83" s="284"/>
      <c r="I83" s="284"/>
      <c r="J83" s="284"/>
      <c r="K83" s="284"/>
      <c r="L83" s="284"/>
      <c r="N83" s="285"/>
      <c r="O83" s="5"/>
      <c r="P83" s="19"/>
      <c r="Q83" s="285"/>
      <c r="R83" s="5"/>
    </row>
    <row r="84" spans="1:19" customFormat="1">
      <c r="A84" s="284"/>
      <c r="B84" s="7" t="s">
        <v>83</v>
      </c>
      <c r="C84" s="284"/>
      <c r="D84" s="284"/>
      <c r="E84" s="284"/>
      <c r="F84" s="284"/>
      <c r="G84" s="284"/>
      <c r="H84" s="284"/>
      <c r="I84" s="284"/>
      <c r="J84" s="284"/>
      <c r="K84" s="284"/>
      <c r="L84" s="284"/>
      <c r="N84" s="285"/>
      <c r="O84" s="5"/>
      <c r="P84" s="19"/>
      <c r="Q84" s="285"/>
      <c r="R84" s="5"/>
    </row>
    <row r="85" spans="1:19" customFormat="1">
      <c r="A85" s="284"/>
      <c r="B85" s="7" t="s">
        <v>84</v>
      </c>
      <c r="C85" s="284"/>
      <c r="D85" s="284"/>
      <c r="E85" s="284"/>
      <c r="F85" s="284"/>
      <c r="G85" s="284"/>
      <c r="H85" s="284"/>
      <c r="I85" s="284"/>
      <c r="J85" s="284"/>
      <c r="K85" s="284"/>
      <c r="L85" s="284"/>
      <c r="N85" s="285"/>
      <c r="O85" s="5"/>
      <c r="P85" s="19"/>
      <c r="Q85" s="285"/>
      <c r="R85" s="5"/>
    </row>
    <row r="86" spans="1:19" customFormat="1">
      <c r="A86" s="284"/>
      <c r="B86" s="7" t="s">
        <v>130</v>
      </c>
      <c r="C86" s="284"/>
      <c r="D86" s="284"/>
      <c r="E86" s="284"/>
      <c r="F86" s="284"/>
      <c r="G86" s="284"/>
      <c r="H86" s="284"/>
      <c r="I86" s="284"/>
      <c r="J86" s="284"/>
      <c r="K86" s="284"/>
      <c r="L86" s="284"/>
      <c r="N86" s="285"/>
      <c r="O86" s="5"/>
      <c r="P86" s="19"/>
      <c r="Q86" s="285"/>
      <c r="R86" s="5"/>
    </row>
    <row r="87" spans="1:19" ht="15" customHeight="1">
      <c r="A87" s="289"/>
      <c r="B87" s="7" t="s">
        <v>261</v>
      </c>
      <c r="E87" s="41"/>
      <c r="F87" s="41"/>
      <c r="G87" s="41"/>
      <c r="H87" s="41"/>
      <c r="I87" s="41"/>
      <c r="J87" s="41"/>
      <c r="K87" s="41"/>
      <c r="L87" s="41"/>
      <c r="M87" s="41"/>
      <c r="N87" s="295"/>
      <c r="O87" s="41"/>
      <c r="Q87" s="72"/>
    </row>
    <row r="88" spans="1:19" ht="15" customHeight="1">
      <c r="C88" s="287">
        <v>3</v>
      </c>
      <c r="D88" s="7" t="s">
        <v>2</v>
      </c>
      <c r="E88" s="41">
        <v>64</v>
      </c>
      <c r="F88" s="41" t="s">
        <v>2</v>
      </c>
      <c r="G88" s="41">
        <v>4</v>
      </c>
      <c r="H88" s="41" t="s">
        <v>2</v>
      </c>
      <c r="I88" s="41">
        <v>4</v>
      </c>
      <c r="J88" s="41"/>
      <c r="K88" s="41"/>
      <c r="L88" s="41" t="s">
        <v>3</v>
      </c>
      <c r="M88" s="79">
        <f>C88*E88*G88*I88</f>
        <v>3072</v>
      </c>
      <c r="N88" s="295" t="s">
        <v>18</v>
      </c>
      <c r="O88" s="41"/>
      <c r="Q88" s="65" t="s">
        <v>15</v>
      </c>
      <c r="R88" s="7" t="s">
        <v>15</v>
      </c>
      <c r="S88" s="7" t="s">
        <v>15</v>
      </c>
    </row>
    <row r="89" spans="1:19" ht="15" customHeight="1">
      <c r="C89" s="287">
        <v>1</v>
      </c>
      <c r="D89" s="7" t="s">
        <v>2</v>
      </c>
      <c r="E89" s="41">
        <v>50</v>
      </c>
      <c r="F89" s="41" t="s">
        <v>2</v>
      </c>
      <c r="G89" s="41">
        <v>4</v>
      </c>
      <c r="H89" s="41" t="s">
        <v>2</v>
      </c>
      <c r="I89" s="41">
        <v>3</v>
      </c>
      <c r="J89" s="41"/>
      <c r="K89" s="41"/>
      <c r="L89" s="41" t="s">
        <v>3</v>
      </c>
      <c r="M89" s="79">
        <f>C89*E89*G89*I89</f>
        <v>600</v>
      </c>
      <c r="N89" s="295" t="s">
        <v>18</v>
      </c>
      <c r="O89" s="41"/>
      <c r="Q89" s="65" t="s">
        <v>15</v>
      </c>
      <c r="R89" s="7" t="s">
        <v>15</v>
      </c>
      <c r="S89" s="7" t="s">
        <v>15</v>
      </c>
    </row>
    <row r="90" spans="1:19" ht="15" customHeight="1">
      <c r="A90" s="289"/>
      <c r="E90" s="41"/>
      <c r="F90" s="41"/>
      <c r="G90" s="41"/>
      <c r="H90" s="41"/>
      <c r="I90" s="41"/>
      <c r="J90" s="41"/>
      <c r="K90" s="41"/>
      <c r="L90" s="66" t="s">
        <v>21</v>
      </c>
      <c r="M90" s="301">
        <f>SUM(M88:M89)</f>
        <v>3672</v>
      </c>
      <c r="N90" s="298" t="s">
        <v>18</v>
      </c>
      <c r="O90" s="41"/>
      <c r="Q90" s="72"/>
    </row>
    <row r="91" spans="1:19" ht="15" customHeight="1">
      <c r="B91" s="7" t="s">
        <v>246</v>
      </c>
      <c r="C91" s="922">
        <f>M90</f>
        <v>3672</v>
      </c>
      <c r="D91" s="922"/>
      <c r="E91" s="922"/>
      <c r="F91" s="41" t="s">
        <v>167</v>
      </c>
      <c r="G91" s="41"/>
      <c r="H91" s="41"/>
      <c r="I91" s="290" t="s">
        <v>188</v>
      </c>
      <c r="J91" s="921">
        <v>3300</v>
      </c>
      <c r="K91" s="921"/>
      <c r="L91" s="41"/>
      <c r="M91" s="41" t="s">
        <v>262</v>
      </c>
      <c r="N91" s="295"/>
      <c r="P91" s="7" t="s">
        <v>5</v>
      </c>
      <c r="Q91" s="72">
        <f>C91*J91/1000</f>
        <v>12117.6</v>
      </c>
    </row>
    <row r="92" spans="1:19" ht="11.25" customHeight="1">
      <c r="B92" s="76"/>
      <c r="C92" s="77"/>
      <c r="D92" s="77"/>
      <c r="E92" s="76"/>
      <c r="F92" s="41"/>
      <c r="G92" s="41"/>
      <c r="H92" s="41"/>
      <c r="I92" s="41"/>
      <c r="J92" s="41"/>
      <c r="K92" s="41"/>
      <c r="L92" s="41"/>
      <c r="M92" s="74"/>
      <c r="N92" s="71"/>
      <c r="O92" s="41"/>
      <c r="Q92" s="72"/>
    </row>
    <row r="93" spans="1:19" customFormat="1">
      <c r="A93" s="284">
        <v>7</v>
      </c>
      <c r="B93" s="7" t="s">
        <v>263</v>
      </c>
      <c r="C93" s="284"/>
    </row>
    <row r="94" spans="1:19" customFormat="1">
      <c r="B94" s="7" t="s">
        <v>264</v>
      </c>
      <c r="C94" s="284"/>
    </row>
    <row r="95" spans="1:19" customFormat="1">
      <c r="B95" s="7" t="s">
        <v>265</v>
      </c>
      <c r="C95" s="284"/>
      <c r="K95" s="193"/>
      <c r="L95" s="193"/>
    </row>
    <row r="96" spans="1:19" customFormat="1">
      <c r="B96" s="7" t="s">
        <v>261</v>
      </c>
      <c r="C96" s="284">
        <v>3</v>
      </c>
      <c r="D96" s="6" t="s">
        <v>2</v>
      </c>
      <c r="E96">
        <v>64</v>
      </c>
      <c r="K96" s="193"/>
      <c r="L96" s="302" t="s">
        <v>21</v>
      </c>
      <c r="M96" s="284">
        <f>C96*E96</f>
        <v>192</v>
      </c>
      <c r="N96" s="6" t="s">
        <v>180</v>
      </c>
    </row>
    <row r="97" spans="1:19" customFormat="1">
      <c r="B97" s="7"/>
      <c r="C97" s="284">
        <v>1</v>
      </c>
      <c r="D97" s="6" t="s">
        <v>2</v>
      </c>
      <c r="E97">
        <v>65</v>
      </c>
      <c r="K97" s="193"/>
      <c r="L97" s="302" t="s">
        <v>21</v>
      </c>
      <c r="M97" s="284">
        <f>C97*E97</f>
        <v>65</v>
      </c>
      <c r="N97" s="6" t="s">
        <v>180</v>
      </c>
    </row>
    <row r="98" spans="1:19" customFormat="1">
      <c r="B98" s="7"/>
      <c r="C98" s="284"/>
      <c r="D98" s="6"/>
      <c r="K98" s="193"/>
      <c r="L98" s="303" t="s">
        <v>21</v>
      </c>
      <c r="M98" s="288">
        <f>SUM(M96:M97)</f>
        <v>257</v>
      </c>
      <c r="N98" s="6"/>
    </row>
    <row r="99" spans="1:19" ht="15" customHeight="1">
      <c r="B99" s="7" t="s">
        <v>246</v>
      </c>
      <c r="C99" s="922">
        <f>M98</f>
        <v>257</v>
      </c>
      <c r="D99" s="922"/>
      <c r="E99" s="922"/>
      <c r="F99" s="41" t="s">
        <v>180</v>
      </c>
      <c r="G99" s="41"/>
      <c r="H99" s="41"/>
      <c r="I99" s="290" t="s">
        <v>188</v>
      </c>
      <c r="J99" s="921">
        <v>412</v>
      </c>
      <c r="K99" s="921"/>
      <c r="L99" s="41"/>
      <c r="M99" s="41" t="s">
        <v>266</v>
      </c>
      <c r="N99" s="295"/>
      <c r="P99" s="7" t="s">
        <v>5</v>
      </c>
      <c r="Q99" s="72">
        <f>C99*J99</f>
        <v>105884</v>
      </c>
    </row>
    <row r="100" spans="1:19" ht="15" customHeight="1">
      <c r="B100" s="78"/>
      <c r="E100" s="65"/>
      <c r="F100" s="41"/>
      <c r="G100" s="41"/>
      <c r="H100" s="41"/>
      <c r="I100" s="41"/>
      <c r="J100" s="41"/>
      <c r="K100" s="41"/>
      <c r="L100" s="41"/>
      <c r="M100" s="41"/>
      <c r="N100" s="71"/>
      <c r="O100" s="41"/>
      <c r="Q100" s="72"/>
    </row>
    <row r="101" spans="1:19" ht="15" customHeight="1">
      <c r="A101" s="289">
        <v>8</v>
      </c>
      <c r="B101" s="7" t="s">
        <v>281</v>
      </c>
      <c r="E101" s="65"/>
      <c r="F101" s="41"/>
      <c r="G101" s="41"/>
      <c r="H101" s="41"/>
      <c r="I101" s="41"/>
      <c r="J101" s="41"/>
      <c r="K101" s="41"/>
      <c r="L101" s="41"/>
      <c r="M101" s="41"/>
      <c r="N101" s="71"/>
      <c r="O101" s="41"/>
      <c r="Q101" s="72"/>
    </row>
    <row r="102" spans="1:19" ht="15" customHeight="1">
      <c r="C102" s="727">
        <v>2</v>
      </c>
      <c r="D102" s="6" t="s">
        <v>2</v>
      </c>
      <c r="E102">
        <v>8</v>
      </c>
      <c r="F102"/>
      <c r="G102"/>
      <c r="H102"/>
      <c r="I102"/>
      <c r="J102"/>
      <c r="K102" s="193"/>
      <c r="L102" s="302" t="s">
        <v>21</v>
      </c>
      <c r="M102" s="727">
        <f>C102*E102</f>
        <v>16</v>
      </c>
      <c r="N102" s="6" t="s">
        <v>180</v>
      </c>
      <c r="O102" s="41"/>
      <c r="Q102" s="65" t="s">
        <v>15</v>
      </c>
      <c r="R102" s="7" t="s">
        <v>15</v>
      </c>
      <c r="S102" s="7" t="s">
        <v>15</v>
      </c>
    </row>
    <row r="103" spans="1:19" ht="15" customHeight="1">
      <c r="B103" s="7" t="s">
        <v>246</v>
      </c>
      <c r="C103" s="922">
        <f>M102</f>
        <v>16</v>
      </c>
      <c r="D103" s="922"/>
      <c r="E103" s="922"/>
      <c r="F103" s="41" t="s">
        <v>182</v>
      </c>
      <c r="G103" s="41"/>
      <c r="H103" s="41"/>
      <c r="I103" s="290" t="s">
        <v>188</v>
      </c>
      <c r="J103" s="921">
        <v>565</v>
      </c>
      <c r="K103" s="921"/>
      <c r="L103" s="41"/>
      <c r="M103" s="41" t="s">
        <v>270</v>
      </c>
      <c r="N103" s="295"/>
      <c r="P103" s="7" t="s">
        <v>5</v>
      </c>
      <c r="Q103" s="72">
        <f>C103*J103</f>
        <v>9040</v>
      </c>
    </row>
    <row r="104" spans="1:19" ht="15" customHeight="1">
      <c r="B104" s="78"/>
      <c r="E104" s="65"/>
      <c r="F104" s="41"/>
      <c r="G104" s="41"/>
      <c r="H104" s="41"/>
      <c r="I104" s="41"/>
      <c r="J104" s="41"/>
      <c r="K104" s="41"/>
      <c r="L104" s="41"/>
      <c r="M104" s="41"/>
      <c r="N104" s="71"/>
      <c r="O104" s="41"/>
      <c r="Q104" s="72"/>
    </row>
    <row r="105" spans="1:19" ht="15" customHeight="1">
      <c r="A105" s="731"/>
      <c r="B105" s="729"/>
      <c r="E105" s="65"/>
      <c r="F105" s="41"/>
      <c r="G105" s="41"/>
      <c r="H105" s="41"/>
      <c r="I105" s="41"/>
      <c r="J105" s="41"/>
      <c r="K105" s="41"/>
      <c r="L105" s="41"/>
      <c r="M105" s="41"/>
      <c r="N105" s="728"/>
      <c r="O105" s="41"/>
      <c r="Q105" s="72"/>
    </row>
    <row r="106" spans="1:19" ht="15" customHeight="1">
      <c r="A106" s="731"/>
      <c r="B106" s="729"/>
      <c r="E106" s="65"/>
      <c r="F106" s="41"/>
      <c r="G106" s="41"/>
      <c r="H106" s="41"/>
      <c r="I106" s="41"/>
      <c r="J106" s="41"/>
      <c r="K106" s="41"/>
      <c r="L106" s="41"/>
      <c r="M106" s="41"/>
      <c r="N106" s="728"/>
      <c r="O106" s="41"/>
      <c r="Q106" s="72"/>
    </row>
    <row r="107" spans="1:19" ht="15" customHeight="1">
      <c r="A107" s="731"/>
      <c r="B107" s="729"/>
      <c r="E107" s="65"/>
      <c r="F107" s="41"/>
      <c r="G107" s="41"/>
      <c r="H107" s="41"/>
      <c r="I107" s="41"/>
      <c r="J107" s="41"/>
      <c r="K107" s="41"/>
      <c r="L107" s="41"/>
      <c r="M107" s="41"/>
      <c r="N107" s="728"/>
      <c r="O107" s="41"/>
      <c r="Q107" s="72"/>
    </row>
    <row r="108" spans="1:19" ht="15" customHeight="1">
      <c r="A108" s="319"/>
      <c r="B108" s="318"/>
      <c r="E108" s="65"/>
      <c r="F108" s="41"/>
      <c r="G108" s="41"/>
      <c r="H108" s="41"/>
      <c r="I108" s="41"/>
      <c r="J108" s="41"/>
      <c r="K108" s="41"/>
      <c r="L108" s="41"/>
      <c r="M108" s="41"/>
      <c r="N108" s="326"/>
      <c r="O108" s="41"/>
      <c r="Q108" s="72"/>
    </row>
    <row r="109" spans="1:19" customFormat="1">
      <c r="A109">
        <v>12</v>
      </c>
      <c r="B109" s="7" t="s">
        <v>267</v>
      </c>
      <c r="C109" s="284"/>
    </row>
    <row r="110" spans="1:19" customFormat="1">
      <c r="B110" s="7" t="s">
        <v>268</v>
      </c>
      <c r="C110" s="284"/>
    </row>
    <row r="111" spans="1:19" customFormat="1" ht="21.75" customHeight="1">
      <c r="B111" s="7"/>
      <c r="C111" s="284"/>
      <c r="E111">
        <v>1</v>
      </c>
      <c r="F111" t="s">
        <v>2</v>
      </c>
      <c r="G111" s="912">
        <f>M90</f>
        <v>3672</v>
      </c>
      <c r="H111" s="913"/>
      <c r="J111" s="6" t="s">
        <v>2</v>
      </c>
      <c r="K111" s="304">
        <v>0.9</v>
      </c>
      <c r="L111" s="284" t="s">
        <v>21</v>
      </c>
      <c r="M111" s="13">
        <f>G111*90/100</f>
        <v>3304.8</v>
      </c>
      <c r="N111" s="6" t="s">
        <v>6</v>
      </c>
    </row>
    <row r="112" spans="1:19" s="43" customFormat="1" ht="24" customHeight="1">
      <c r="B112" s="927">
        <f>M111</f>
        <v>3304.8</v>
      </c>
      <c r="C112" s="927"/>
      <c r="D112" s="927"/>
      <c r="E112" s="927"/>
      <c r="F112" s="102" t="s">
        <v>6</v>
      </c>
      <c r="J112" s="218" t="s">
        <v>17</v>
      </c>
      <c r="K112" s="928">
        <v>2760</v>
      </c>
      <c r="L112" s="928"/>
      <c r="M112" s="102" t="s">
        <v>1</v>
      </c>
      <c r="N112" s="43" t="s">
        <v>16</v>
      </c>
      <c r="O112" s="44">
        <f>B112*K112/1000</f>
        <v>9121.2479999999996</v>
      </c>
    </row>
    <row r="113" spans="1:24" ht="29.25" customHeight="1">
      <c r="B113" s="7" t="s">
        <v>246</v>
      </c>
      <c r="C113" s="922">
        <f>M111</f>
        <v>3304.8</v>
      </c>
      <c r="D113" s="922"/>
      <c r="E113" s="922"/>
      <c r="F113" s="41" t="s">
        <v>182</v>
      </c>
      <c r="G113" s="41"/>
      <c r="H113" s="41"/>
      <c r="I113" s="290" t="s">
        <v>188</v>
      </c>
      <c r="J113" s="921">
        <v>2760</v>
      </c>
      <c r="K113" s="921"/>
      <c r="L113" s="41"/>
      <c r="M113" s="41" t="s">
        <v>269</v>
      </c>
      <c r="N113" s="295"/>
      <c r="P113" s="7" t="s">
        <v>5</v>
      </c>
      <c r="Q113" s="72">
        <f>C113*J113/1000</f>
        <v>9121.2479999999996</v>
      </c>
    </row>
    <row r="114" spans="1:24" ht="15" customHeight="1">
      <c r="B114" s="78"/>
      <c r="E114" s="41"/>
      <c r="F114" s="41"/>
      <c r="G114" s="41"/>
      <c r="H114" s="41"/>
      <c r="I114" s="41"/>
      <c r="J114" s="41"/>
      <c r="K114" s="41"/>
      <c r="L114" s="41"/>
      <c r="M114" s="41"/>
      <c r="N114" s="71"/>
      <c r="O114" s="41"/>
      <c r="P114" s="139"/>
      <c r="Q114" s="248"/>
    </row>
    <row r="115" spans="1:24" ht="15" customHeight="1">
      <c r="B115" s="69"/>
      <c r="C115" s="69"/>
      <c r="D115" s="69"/>
      <c r="E115" s="68"/>
      <c r="F115" s="41"/>
      <c r="G115" s="41"/>
      <c r="H115" s="41"/>
      <c r="I115" s="41"/>
      <c r="J115" s="41"/>
      <c r="K115" s="41"/>
      <c r="L115" s="41"/>
      <c r="M115" s="257"/>
      <c r="N115" s="227"/>
      <c r="O115" s="41"/>
      <c r="Q115" s="72"/>
      <c r="T115"/>
      <c r="U115"/>
      <c r="V115"/>
      <c r="W115"/>
      <c r="X115"/>
    </row>
    <row r="116" spans="1:24" ht="15" customHeight="1">
      <c r="B116" s="69"/>
      <c r="C116" s="69"/>
      <c r="D116" s="69"/>
      <c r="E116" s="68"/>
      <c r="F116" s="41"/>
      <c r="G116" s="41"/>
      <c r="H116" s="41"/>
      <c r="I116" s="41"/>
      <c r="J116" s="41"/>
      <c r="K116" s="41"/>
      <c r="L116" s="41"/>
      <c r="M116" s="74"/>
      <c r="N116" s="71"/>
      <c r="O116" s="66" t="s">
        <v>4</v>
      </c>
      <c r="P116" s="73" t="s">
        <v>16</v>
      </c>
      <c r="Q116" s="10">
        <v>21854597</v>
      </c>
      <c r="T116"/>
      <c r="U116"/>
      <c r="V116"/>
      <c r="W116"/>
      <c r="X116"/>
    </row>
    <row r="117" spans="1:24" ht="15" customHeight="1">
      <c r="E117" s="41"/>
      <c r="F117" s="41"/>
      <c r="G117" s="41"/>
      <c r="H117" s="41"/>
      <c r="I117" s="41"/>
      <c r="J117" s="41"/>
      <c r="K117" s="41"/>
      <c r="L117" s="41"/>
      <c r="M117" s="41"/>
      <c r="N117" s="71"/>
      <c r="O117" s="41"/>
      <c r="T117"/>
      <c r="U117"/>
      <c r="V117"/>
      <c r="W117"/>
      <c r="X117"/>
    </row>
    <row r="118" spans="1:24" ht="15" customHeight="1">
      <c r="B118" s="11"/>
      <c r="E118" s="41"/>
      <c r="F118" s="41"/>
      <c r="G118" s="41" t="s">
        <v>240</v>
      </c>
      <c r="H118" s="41"/>
      <c r="I118" s="41"/>
      <c r="J118" s="41"/>
      <c r="K118" s="41"/>
      <c r="L118" s="41"/>
      <c r="M118" s="41"/>
      <c r="N118" s="71"/>
      <c r="O118" s="41"/>
      <c r="P118" s="7" t="s">
        <v>5</v>
      </c>
      <c r="Q118" s="72">
        <f>Q116*33.7/100</f>
        <v>7364999.1890000012</v>
      </c>
    </row>
    <row r="119" spans="1:24" ht="15" customHeight="1">
      <c r="E119" s="41"/>
      <c r="F119" s="41"/>
      <c r="G119" s="41"/>
      <c r="H119" s="41"/>
      <c r="I119" s="41"/>
      <c r="J119" s="41"/>
      <c r="K119" s="41"/>
      <c r="L119" s="41"/>
      <c r="M119" s="41"/>
      <c r="N119" s="71"/>
      <c r="O119" s="41"/>
      <c r="P119" s="139"/>
      <c r="Q119" s="139"/>
    </row>
    <row r="120" spans="1:24" customFormat="1" ht="7.5" customHeight="1">
      <c r="A120" s="284"/>
      <c r="B120" s="2"/>
      <c r="M120" s="29"/>
      <c r="N120" s="13"/>
      <c r="Q120" s="72"/>
    </row>
    <row r="121" spans="1:24" ht="15" customHeight="1">
      <c r="N121" s="63"/>
      <c r="O121" s="7" t="s">
        <v>136</v>
      </c>
      <c r="P121" s="7" t="s">
        <v>5</v>
      </c>
      <c r="Q121" s="72">
        <f>SUM(Q116:Q120)</f>
        <v>29219596.189000003</v>
      </c>
    </row>
    <row r="122" spans="1:24" ht="15" customHeight="1">
      <c r="N122" s="63"/>
    </row>
    <row r="123" spans="1:24" customFormat="1">
      <c r="A123" s="284"/>
      <c r="B123" s="2"/>
      <c r="M123" s="29"/>
      <c r="N123" s="13"/>
      <c r="Q123" s="72"/>
    </row>
    <row r="124" spans="1:24">
      <c r="A124" s="7"/>
      <c r="E124" s="287"/>
    </row>
    <row r="125" spans="1:24">
      <c r="A125" s="7"/>
      <c r="E125" s="287"/>
    </row>
    <row r="126" spans="1:24">
      <c r="A126" s="7"/>
      <c r="E126" s="287"/>
    </row>
    <row r="127" spans="1:24" ht="15" customHeight="1"/>
    <row r="128" spans="1:24" ht="15" customHeight="1"/>
    <row r="129" spans="1:24" customFormat="1">
      <c r="A129" s="284"/>
      <c r="B129" s="2"/>
      <c r="M129" s="29"/>
      <c r="N129" s="13"/>
      <c r="Q129" s="72"/>
    </row>
    <row r="130" spans="1:24" ht="15" customHeight="1"/>
    <row r="132" spans="1:24" customFormat="1">
      <c r="A132" s="284"/>
      <c r="B132" s="2"/>
      <c r="M132" s="29"/>
      <c r="N132" s="13"/>
      <c r="Q132" s="72"/>
    </row>
    <row r="134" spans="1:24">
      <c r="B134" s="41"/>
    </row>
    <row r="135" spans="1:24" customFormat="1" ht="16.5">
      <c r="A135" s="284"/>
      <c r="M135" s="29"/>
      <c r="N135" s="24"/>
      <c r="Q135" s="72"/>
      <c r="T135" s="6"/>
      <c r="U135" s="6"/>
      <c r="V135" s="6"/>
      <c r="W135" s="6"/>
      <c r="X135" s="6"/>
    </row>
    <row r="136" spans="1:24">
      <c r="P136"/>
      <c r="Q136" s="72"/>
      <c r="T136" s="6"/>
      <c r="U136" s="6"/>
      <c r="V136" s="6"/>
      <c r="W136" s="6"/>
      <c r="X136" s="6"/>
    </row>
    <row r="137" spans="1:24">
      <c r="T137" s="6"/>
      <c r="U137" s="6"/>
      <c r="V137" s="6"/>
      <c r="W137" s="6"/>
      <c r="X137" s="6"/>
    </row>
    <row r="138" spans="1:24" s="6" customFormat="1" ht="15">
      <c r="A138" s="268"/>
      <c r="P138" s="15"/>
      <c r="Q138" s="28"/>
    </row>
    <row r="139" spans="1:24" s="6" customFormat="1" ht="12.75">
      <c r="A139" s="268"/>
      <c r="Q139" s="25"/>
    </row>
    <row r="140" spans="1:24" s="6" customFormat="1" ht="15">
      <c r="A140" s="268"/>
      <c r="P140" s="15"/>
      <c r="Q140" s="28"/>
    </row>
    <row r="141" spans="1:24" s="6" customFormat="1" ht="12.75">
      <c r="A141" s="268"/>
      <c r="P141" s="14"/>
      <c r="Q141" s="8"/>
    </row>
  </sheetData>
  <mergeCells count="40">
    <mergeCell ref="B3:I3"/>
    <mergeCell ref="B112:E112"/>
    <mergeCell ref="K112:L112"/>
    <mergeCell ref="C113:E113"/>
    <mergeCell ref="J113:K113"/>
    <mergeCell ref="C99:E99"/>
    <mergeCell ref="J99:K99"/>
    <mergeCell ref="C103:E103"/>
    <mergeCell ref="J103:K103"/>
    <mergeCell ref="G111:H111"/>
    <mergeCell ref="J75:K75"/>
    <mergeCell ref="C78:E78"/>
    <mergeCell ref="J78:K78"/>
    <mergeCell ref="C91:E91"/>
    <mergeCell ref="J91:K91"/>
    <mergeCell ref="C75:E75"/>
    <mergeCell ref="G74:H74"/>
    <mergeCell ref="A1:Q2"/>
    <mergeCell ref="F68:G68"/>
    <mergeCell ref="E14:G14"/>
    <mergeCell ref="I14:K14"/>
    <mergeCell ref="C22:E22"/>
    <mergeCell ref="J22:K22"/>
    <mergeCell ref="E17:G17"/>
    <mergeCell ref="I17:K17"/>
    <mergeCell ref="E20:G20"/>
    <mergeCell ref="I20:K20"/>
    <mergeCell ref="C69:E69"/>
    <mergeCell ref="J69:K69"/>
    <mergeCell ref="B34:G34"/>
    <mergeCell ref="E30:G30"/>
    <mergeCell ref="E28:G28"/>
    <mergeCell ref="I28:K28"/>
    <mergeCell ref="C40:E40"/>
    <mergeCell ref="J40:K40"/>
    <mergeCell ref="C48:E48"/>
    <mergeCell ref="J48:K48"/>
    <mergeCell ref="I30:K30"/>
    <mergeCell ref="C32:E32"/>
    <mergeCell ref="J32:K32"/>
  </mergeCells>
  <pageMargins left="0.77" right="0.23" top="0.34" bottom="0.27" header="0.25" footer="0.23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FF0000"/>
  </sheetPr>
  <dimension ref="A1:W140"/>
  <sheetViews>
    <sheetView workbookViewId="0">
      <selection activeCell="Y12" sqref="Y12"/>
    </sheetView>
  </sheetViews>
  <sheetFormatPr defaultRowHeight="15.75"/>
  <cols>
    <col min="1" max="1" width="4.140625" style="319" customWidth="1"/>
    <col min="2" max="2" width="7.5703125" style="7" customWidth="1"/>
    <col min="3" max="3" width="5.85546875" style="7" customWidth="1"/>
    <col min="4" max="4" width="2.28515625" style="7" customWidth="1"/>
    <col min="5" max="5" width="6.85546875" style="7" customWidth="1"/>
    <col min="6" max="6" width="3.42578125" style="7" customWidth="1"/>
    <col min="7" max="7" width="6.5703125" style="7" customWidth="1"/>
    <col min="8" max="8" width="3" style="7" customWidth="1"/>
    <col min="9" max="9" width="6" style="7" customWidth="1"/>
    <col min="10" max="10" width="4.28515625" style="7" customWidth="1"/>
    <col min="11" max="11" width="6" style="7" customWidth="1"/>
    <col min="12" max="12" width="2.85546875" style="7" customWidth="1"/>
    <col min="13" max="13" width="7.5703125" style="7" customWidth="1"/>
    <col min="14" max="14" width="3.28515625" style="7" customWidth="1"/>
    <col min="15" max="15" width="9.7109375" style="7" customWidth="1"/>
    <col min="16" max="16" width="3" style="7" customWidth="1"/>
    <col min="17" max="17" width="10.7109375" style="7" customWidth="1"/>
    <col min="18" max="18" width="0.28515625" style="7" customWidth="1"/>
    <col min="19" max="19" width="9.140625" style="7" hidden="1" customWidth="1"/>
    <col min="20" max="20" width="0.28515625" style="7" customWidth="1"/>
    <col min="21" max="21" width="3.28515625" style="7" hidden="1" customWidth="1"/>
    <col min="22" max="22" width="7.5703125" style="7" hidden="1" customWidth="1"/>
    <col min="23" max="23" width="2.5703125" style="7" hidden="1" customWidth="1"/>
    <col min="24" max="16384" width="9.140625" style="7"/>
  </cols>
  <sheetData>
    <row r="1" spans="1:23" ht="3.75" customHeight="1">
      <c r="A1" s="924" t="s">
        <v>271</v>
      </c>
      <c r="B1" s="924"/>
      <c r="C1" s="924"/>
      <c r="D1" s="924"/>
      <c r="E1" s="924"/>
      <c r="F1" s="924"/>
      <c r="G1" s="924"/>
      <c r="H1" s="924"/>
      <c r="I1" s="924"/>
      <c r="J1" s="924"/>
      <c r="K1" s="924"/>
      <c r="L1" s="924"/>
      <c r="M1" s="924"/>
      <c r="N1" s="924"/>
      <c r="O1" s="924"/>
      <c r="P1" s="924"/>
      <c r="Q1" s="924"/>
    </row>
    <row r="2" spans="1:23" ht="15" customHeight="1">
      <c r="A2" s="924"/>
      <c r="B2" s="924"/>
      <c r="C2" s="924"/>
      <c r="D2" s="924"/>
      <c r="E2" s="924"/>
      <c r="F2" s="924"/>
      <c r="G2" s="924"/>
      <c r="H2" s="924"/>
      <c r="I2" s="924"/>
      <c r="J2" s="924"/>
      <c r="K2" s="924"/>
      <c r="L2" s="924"/>
      <c r="M2" s="924"/>
      <c r="N2" s="924"/>
      <c r="O2" s="924"/>
      <c r="P2" s="924"/>
      <c r="Q2" s="924"/>
      <c r="R2" s="7" t="s">
        <v>275</v>
      </c>
      <c r="S2" s="312" t="s">
        <v>273</v>
      </c>
      <c r="T2" s="313">
        <v>500</v>
      </c>
      <c r="U2" s="314" t="s">
        <v>2</v>
      </c>
      <c r="V2" s="315">
        <v>400</v>
      </c>
      <c r="W2" s="7" t="s">
        <v>274</v>
      </c>
    </row>
    <row r="3" spans="1:23" ht="15.75" customHeight="1">
      <c r="A3" s="300"/>
      <c r="B3" s="924" t="s">
        <v>654</v>
      </c>
      <c r="C3" s="924"/>
      <c r="D3" s="924"/>
      <c r="E3" s="924"/>
      <c r="F3" s="924"/>
      <c r="G3" s="924"/>
      <c r="H3" s="924"/>
      <c r="I3" s="924"/>
      <c r="J3" s="320"/>
      <c r="K3" s="320"/>
      <c r="L3" s="320"/>
      <c r="M3" s="320"/>
      <c r="N3" s="320"/>
      <c r="O3" s="320"/>
      <c r="P3" s="320"/>
      <c r="Q3" s="320"/>
    </row>
    <row r="4" spans="1:23" customFormat="1">
      <c r="A4" s="316">
        <v>1</v>
      </c>
      <c r="B4" s="7" t="s">
        <v>242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P4" s="317"/>
      <c r="Q4" s="324"/>
      <c r="R4" s="19"/>
      <c r="S4" s="317"/>
      <c r="T4" s="324"/>
    </row>
    <row r="5" spans="1:23" customFormat="1">
      <c r="A5" s="316"/>
      <c r="B5" s="7" t="s">
        <v>253</v>
      </c>
      <c r="C5" s="316"/>
      <c r="D5" s="316"/>
      <c r="E5" s="316"/>
      <c r="F5" s="316"/>
      <c r="G5" s="316"/>
      <c r="H5" s="316"/>
      <c r="I5" s="316"/>
      <c r="J5" s="316"/>
      <c r="K5" s="316"/>
      <c r="L5" s="316"/>
      <c r="M5" s="316"/>
      <c r="N5" s="316"/>
      <c r="P5" s="317"/>
      <c r="Q5" s="324"/>
      <c r="R5" s="19"/>
      <c r="S5" s="317"/>
      <c r="T5" s="324"/>
    </row>
    <row r="6" spans="1:23" customFormat="1">
      <c r="A6" s="316"/>
      <c r="B6" s="7" t="s">
        <v>254</v>
      </c>
      <c r="C6" s="316"/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P6" s="317"/>
      <c r="Q6" s="324"/>
      <c r="R6" s="19"/>
      <c r="S6" s="317"/>
      <c r="T6" s="324"/>
    </row>
    <row r="7" spans="1:23" customFormat="1">
      <c r="A7" s="316"/>
      <c r="B7" s="7" t="s">
        <v>255</v>
      </c>
      <c r="C7" s="316"/>
      <c r="D7" s="316"/>
      <c r="E7" s="316"/>
      <c r="F7" s="316"/>
      <c r="G7" s="316"/>
      <c r="H7" s="316"/>
      <c r="I7" s="316"/>
      <c r="J7" s="316"/>
      <c r="K7" s="316"/>
      <c r="L7" s="316"/>
      <c r="M7" s="316"/>
      <c r="N7" s="316"/>
      <c r="P7" s="317"/>
      <c r="Q7" s="324"/>
      <c r="R7" s="19"/>
      <c r="S7" s="317"/>
      <c r="T7" s="324"/>
    </row>
    <row r="8" spans="1:23" customFormat="1">
      <c r="A8" s="316"/>
      <c r="B8" s="7" t="s">
        <v>277</v>
      </c>
      <c r="C8" s="316"/>
      <c r="D8" s="316"/>
      <c r="E8" s="316"/>
      <c r="F8" s="316"/>
      <c r="G8" s="316"/>
      <c r="H8" s="316"/>
      <c r="I8" s="316"/>
      <c r="J8" s="316"/>
      <c r="K8" s="316"/>
      <c r="L8" s="316"/>
      <c r="M8" s="316"/>
      <c r="N8" s="316"/>
      <c r="P8" s="317"/>
      <c r="Q8" s="324"/>
      <c r="R8" s="19"/>
      <c r="S8" s="317"/>
      <c r="T8" s="324"/>
    </row>
    <row r="9" spans="1:23" customFormat="1">
      <c r="A9" s="316"/>
      <c r="B9" s="7" t="s">
        <v>276</v>
      </c>
      <c r="C9" s="316"/>
      <c r="D9" s="316"/>
      <c r="E9" s="316"/>
      <c r="F9" s="316"/>
      <c r="G9" s="316"/>
      <c r="H9" s="316"/>
      <c r="I9" s="316"/>
      <c r="J9" s="316"/>
      <c r="K9" s="316"/>
      <c r="L9" s="316"/>
      <c r="M9" s="316"/>
      <c r="N9" s="316"/>
      <c r="P9" s="317"/>
      <c r="Q9" s="324"/>
      <c r="R9" s="19"/>
      <c r="S9" s="317"/>
      <c r="T9" s="324"/>
    </row>
    <row r="10" spans="1:23" customFormat="1">
      <c r="A10" s="316"/>
      <c r="B10" s="7" t="s">
        <v>131</v>
      </c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P10" s="317"/>
      <c r="Q10" s="324"/>
      <c r="R10" s="19"/>
      <c r="S10" s="317"/>
      <c r="T10" s="324"/>
    </row>
    <row r="11" spans="1:23" ht="11.25" customHeight="1">
      <c r="B11" s="32"/>
      <c r="E11" s="41"/>
      <c r="F11" s="41"/>
      <c r="G11" s="41"/>
      <c r="H11" s="41"/>
      <c r="I11" s="41"/>
      <c r="J11" s="41"/>
      <c r="K11" s="41"/>
      <c r="L11" s="41"/>
      <c r="M11" s="41"/>
      <c r="N11" s="326"/>
      <c r="Q11" s="65"/>
    </row>
    <row r="12" spans="1:23" ht="15" customHeight="1">
      <c r="B12" s="7" t="s">
        <v>245</v>
      </c>
      <c r="E12" s="41"/>
      <c r="F12" s="41"/>
      <c r="G12" s="41"/>
      <c r="H12" s="41"/>
      <c r="I12" s="41"/>
      <c r="J12" s="41"/>
      <c r="K12" s="41"/>
      <c r="L12" s="41"/>
      <c r="M12" s="41"/>
      <c r="N12" s="326"/>
      <c r="Q12" s="65" t="s">
        <v>15</v>
      </c>
      <c r="R12" s="7" t="s">
        <v>15</v>
      </c>
      <c r="S12" s="7" t="s">
        <v>15</v>
      </c>
    </row>
    <row r="13" spans="1:23" ht="15" customHeight="1">
      <c r="C13" s="7">
        <v>1</v>
      </c>
      <c r="D13" s="7" t="s">
        <v>2</v>
      </c>
      <c r="E13" s="725">
        <v>520</v>
      </c>
      <c r="F13" s="725" t="s">
        <v>135</v>
      </c>
      <c r="G13" s="725">
        <v>488</v>
      </c>
      <c r="H13" s="726" t="s">
        <v>2</v>
      </c>
      <c r="I13" s="725">
        <v>350</v>
      </c>
      <c r="J13" s="725" t="s">
        <v>135</v>
      </c>
      <c r="K13" s="725">
        <v>318</v>
      </c>
      <c r="L13" s="41" t="s">
        <v>2</v>
      </c>
      <c r="M13" s="724">
        <v>8</v>
      </c>
      <c r="N13" s="326" t="s">
        <v>21</v>
      </c>
      <c r="O13" s="63">
        <f>T14*V14*M13</f>
        <v>1346688</v>
      </c>
      <c r="P13" s="7" t="s">
        <v>167</v>
      </c>
      <c r="Q13" s="65"/>
      <c r="T13" s="318">
        <f>E13+G13</f>
        <v>1008</v>
      </c>
      <c r="V13" s="41">
        <f>I13+K13</f>
        <v>668</v>
      </c>
    </row>
    <row r="14" spans="1:23" ht="15" customHeight="1">
      <c r="E14" s="918">
        <v>2</v>
      </c>
      <c r="F14" s="918"/>
      <c r="G14" s="918"/>
      <c r="H14" s="41"/>
      <c r="I14" s="918">
        <v>2</v>
      </c>
      <c r="J14" s="918"/>
      <c r="K14" s="918"/>
      <c r="L14" s="41"/>
      <c r="M14" s="724"/>
      <c r="N14" s="326"/>
      <c r="O14" s="63"/>
      <c r="Q14" s="65"/>
      <c r="T14" s="292">
        <f>T13/2</f>
        <v>504</v>
      </c>
      <c r="U14" s="318" t="s">
        <v>2</v>
      </c>
      <c r="V14" s="292">
        <f>V13/2</f>
        <v>334</v>
      </c>
      <c r="W14" s="41"/>
    </row>
    <row r="15" spans="1:23" ht="14.25" customHeight="1">
      <c r="B15" s="7" t="s">
        <v>248</v>
      </c>
      <c r="E15" s="41"/>
      <c r="F15" s="41"/>
      <c r="G15" s="41"/>
      <c r="H15" s="41"/>
      <c r="I15" s="41"/>
      <c r="J15" s="41"/>
      <c r="K15" s="41"/>
      <c r="L15" s="41"/>
      <c r="M15" s="724"/>
      <c r="N15" s="326"/>
      <c r="O15" s="63"/>
      <c r="Q15" s="65" t="s">
        <v>15</v>
      </c>
      <c r="R15" s="7" t="s">
        <v>15</v>
      </c>
      <c r="S15" s="7" t="s">
        <v>15</v>
      </c>
    </row>
    <row r="16" spans="1:23" ht="15" customHeight="1">
      <c r="C16" s="7">
        <v>1</v>
      </c>
      <c r="D16" s="7" t="s">
        <v>2</v>
      </c>
      <c r="E16" s="291">
        <f>E13</f>
        <v>520</v>
      </c>
      <c r="F16" s="291" t="s">
        <v>135</v>
      </c>
      <c r="G16" s="291">
        <v>502</v>
      </c>
      <c r="H16" s="238" t="s">
        <v>2</v>
      </c>
      <c r="I16" s="291">
        <f>I13</f>
        <v>350</v>
      </c>
      <c r="J16" s="291" t="s">
        <v>135</v>
      </c>
      <c r="K16" s="291">
        <v>332</v>
      </c>
      <c r="L16" s="41" t="s">
        <v>2</v>
      </c>
      <c r="M16" s="724">
        <v>4.5</v>
      </c>
      <c r="N16" s="326" t="s">
        <v>21</v>
      </c>
      <c r="O16" s="63">
        <f>T17*V17*M16</f>
        <v>784129.5</v>
      </c>
      <c r="P16" s="7" t="s">
        <v>167</v>
      </c>
      <c r="Q16" s="65"/>
      <c r="T16" s="318">
        <f>E16+G16</f>
        <v>1022</v>
      </c>
      <c r="V16" s="41">
        <f>I16+K16</f>
        <v>682</v>
      </c>
    </row>
    <row r="17" spans="1:22" ht="15" customHeight="1">
      <c r="E17" s="918">
        <v>2</v>
      </c>
      <c r="F17" s="918"/>
      <c r="G17" s="918"/>
      <c r="H17" s="41"/>
      <c r="I17" s="918">
        <v>2</v>
      </c>
      <c r="J17" s="918"/>
      <c r="K17" s="918"/>
      <c r="L17" s="41"/>
      <c r="M17" s="724"/>
      <c r="N17" s="326"/>
      <c r="O17" s="63"/>
      <c r="Q17" s="65"/>
      <c r="T17" s="292">
        <f>T16/2</f>
        <v>511</v>
      </c>
      <c r="U17" s="293" t="s">
        <v>2</v>
      </c>
      <c r="V17" s="292">
        <f>V16/2</f>
        <v>341</v>
      </c>
    </row>
    <row r="18" spans="1:22" ht="14.25" customHeight="1">
      <c r="B18" s="7" t="s">
        <v>249</v>
      </c>
      <c r="E18" s="41"/>
      <c r="F18" s="41"/>
      <c r="G18" s="41"/>
      <c r="H18" s="41"/>
      <c r="I18" s="41"/>
      <c r="J18" s="41"/>
      <c r="K18" s="41"/>
      <c r="L18" s="41"/>
      <c r="M18" s="724"/>
      <c r="N18" s="326"/>
      <c r="O18" s="63"/>
      <c r="Q18" s="65" t="s">
        <v>15</v>
      </c>
      <c r="R18" s="7" t="s">
        <v>15</v>
      </c>
      <c r="S18" s="7" t="s">
        <v>15</v>
      </c>
    </row>
    <row r="19" spans="1:22" ht="15" customHeight="1">
      <c r="C19" s="7">
        <v>1</v>
      </c>
      <c r="D19" s="7" t="s">
        <v>2</v>
      </c>
      <c r="E19" s="291">
        <f>E16</f>
        <v>520</v>
      </c>
      <c r="F19" s="291" t="s">
        <v>135</v>
      </c>
      <c r="G19" s="291">
        <v>504</v>
      </c>
      <c r="H19" s="238" t="s">
        <v>2</v>
      </c>
      <c r="I19" s="291">
        <v>350</v>
      </c>
      <c r="J19" s="291" t="s">
        <v>135</v>
      </c>
      <c r="K19" s="291">
        <v>334</v>
      </c>
      <c r="L19" s="41" t="s">
        <v>2</v>
      </c>
      <c r="M19" s="724">
        <v>4</v>
      </c>
      <c r="N19" s="326" t="s">
        <v>21</v>
      </c>
      <c r="O19" s="63">
        <f>T20*V20*M19</f>
        <v>700416</v>
      </c>
      <c r="P19" s="7" t="s">
        <v>167</v>
      </c>
      <c r="Q19" s="65"/>
      <c r="T19" s="318">
        <f>E19+G19</f>
        <v>1024</v>
      </c>
      <c r="V19" s="41">
        <f>I19+K19</f>
        <v>684</v>
      </c>
    </row>
    <row r="20" spans="1:22" ht="15" customHeight="1">
      <c r="E20" s="918">
        <v>2</v>
      </c>
      <c r="F20" s="918"/>
      <c r="G20" s="918"/>
      <c r="H20" s="41"/>
      <c r="I20" s="918">
        <v>2</v>
      </c>
      <c r="J20" s="918"/>
      <c r="K20" s="918"/>
      <c r="L20" s="41"/>
      <c r="M20" s="41"/>
      <c r="N20" s="326"/>
      <c r="O20" s="296"/>
      <c r="Q20" s="65"/>
      <c r="T20" s="292">
        <f>T19/2</f>
        <v>512</v>
      </c>
      <c r="U20" s="293" t="s">
        <v>2</v>
      </c>
      <c r="V20" s="292">
        <f>V19/2</f>
        <v>342</v>
      </c>
    </row>
    <row r="21" spans="1:22" ht="15" customHeight="1">
      <c r="E21" s="321"/>
      <c r="F21" s="321"/>
      <c r="G21" s="321"/>
      <c r="H21" s="41"/>
      <c r="I21" s="321"/>
      <c r="J21" s="321"/>
      <c r="K21" s="321"/>
      <c r="L21" s="41"/>
      <c r="M21" s="41"/>
      <c r="N21" s="326" t="s">
        <v>21</v>
      </c>
      <c r="O21" s="82">
        <f>SUM(O13:O20)</f>
        <v>2831233.5</v>
      </c>
      <c r="P21" s="7" t="s">
        <v>167</v>
      </c>
      <c r="Q21" s="65"/>
      <c r="T21" s="310"/>
      <c r="U21" s="311"/>
      <c r="V21" s="310"/>
    </row>
    <row r="22" spans="1:22" s="73" customFormat="1" ht="15" customHeight="1">
      <c r="A22" s="328"/>
      <c r="B22" s="73" t="s">
        <v>246</v>
      </c>
      <c r="C22" s="922">
        <f>O21</f>
        <v>2831233.5</v>
      </c>
      <c r="D22" s="922"/>
      <c r="E22" s="922"/>
      <c r="F22" s="66" t="s">
        <v>167</v>
      </c>
      <c r="G22" s="66"/>
      <c r="H22" s="66"/>
      <c r="I22" s="297" t="s">
        <v>188</v>
      </c>
      <c r="J22" s="926">
        <v>3000</v>
      </c>
      <c r="K22" s="926"/>
      <c r="L22" s="66"/>
      <c r="M22" s="66" t="s">
        <v>247</v>
      </c>
      <c r="N22" s="327"/>
      <c r="P22" s="73" t="s">
        <v>5</v>
      </c>
      <c r="Q22" s="82">
        <f>C22*J22/1000</f>
        <v>8493700.5</v>
      </c>
    </row>
    <row r="23" spans="1:22" ht="15" customHeight="1">
      <c r="B23" s="68"/>
      <c r="C23" s="69"/>
      <c r="D23" s="69"/>
      <c r="E23" s="68"/>
      <c r="F23" s="41"/>
      <c r="G23" s="41"/>
      <c r="H23" s="41"/>
      <c r="I23" s="41"/>
      <c r="J23" s="41"/>
      <c r="K23" s="41"/>
      <c r="L23" s="41"/>
      <c r="M23" s="272"/>
      <c r="N23" s="326"/>
      <c r="Q23" s="72"/>
    </row>
    <row r="24" spans="1:22" customFormat="1">
      <c r="A24" s="316">
        <v>2</v>
      </c>
      <c r="B24" s="7" t="s">
        <v>280</v>
      </c>
      <c r="C24" s="316"/>
      <c r="D24" s="316"/>
      <c r="E24" s="316"/>
      <c r="F24" s="316"/>
      <c r="G24" s="316"/>
      <c r="H24" s="316"/>
      <c r="I24" s="316"/>
      <c r="J24" s="316"/>
      <c r="K24" s="316"/>
      <c r="L24" s="316"/>
      <c r="M24" s="316"/>
      <c r="N24" s="316"/>
      <c r="P24" s="317"/>
      <c r="Q24" s="324"/>
      <c r="R24" s="19"/>
      <c r="S24" s="317"/>
      <c r="T24" s="324"/>
    </row>
    <row r="25" spans="1:22" customFormat="1">
      <c r="A25" s="316"/>
      <c r="B25" s="7" t="s">
        <v>250</v>
      </c>
      <c r="C25" s="316"/>
      <c r="D25" s="316"/>
      <c r="E25" s="316"/>
      <c r="F25" s="316"/>
      <c r="G25" s="316"/>
      <c r="H25" s="316"/>
      <c r="I25" s="316"/>
      <c r="J25" s="316"/>
      <c r="K25" s="316"/>
      <c r="L25" s="316"/>
      <c r="M25" s="316"/>
      <c r="N25" s="316"/>
      <c r="P25" s="317"/>
      <c r="Q25" s="324"/>
      <c r="R25" s="19"/>
      <c r="S25" s="317"/>
      <c r="T25" s="324"/>
    </row>
    <row r="26" spans="1:22" customFormat="1">
      <c r="A26" s="316"/>
      <c r="B26" s="7"/>
      <c r="C26" s="316"/>
      <c r="D26" s="316"/>
      <c r="E26" s="316"/>
      <c r="F26" s="316"/>
      <c r="G26" s="316"/>
      <c r="H26" s="316"/>
      <c r="I26" s="316"/>
      <c r="J26" s="316"/>
      <c r="K26" s="316"/>
      <c r="L26" s="316"/>
      <c r="M26" s="316"/>
      <c r="N26" s="316"/>
      <c r="P26" s="317"/>
      <c r="Q26" s="324"/>
      <c r="R26" s="19"/>
      <c r="S26" s="317"/>
      <c r="T26" s="324"/>
    </row>
    <row r="27" spans="1:22" customFormat="1">
      <c r="A27" s="316"/>
      <c r="B27" s="7" t="s">
        <v>251</v>
      </c>
      <c r="C27" s="7">
        <v>2</v>
      </c>
      <c r="D27" s="7" t="s">
        <v>2</v>
      </c>
      <c r="E27" s="332">
        <v>1154</v>
      </c>
      <c r="F27" s="291" t="s">
        <v>135</v>
      </c>
      <c r="G27" s="332">
        <v>1138</v>
      </c>
      <c r="H27" s="238" t="s">
        <v>2</v>
      </c>
      <c r="I27" s="291">
        <v>10</v>
      </c>
      <c r="J27" s="291" t="s">
        <v>135</v>
      </c>
      <c r="K27" s="291">
        <v>26</v>
      </c>
      <c r="L27" s="41" t="s">
        <v>2</v>
      </c>
      <c r="M27" s="41">
        <v>4</v>
      </c>
      <c r="N27" s="326" t="s">
        <v>21</v>
      </c>
      <c r="O27" s="319">
        <f>C27*T28*V28*M27</f>
        <v>165024</v>
      </c>
      <c r="P27" s="7" t="s">
        <v>167</v>
      </c>
      <c r="Q27" s="65"/>
      <c r="R27" s="7"/>
      <c r="S27" s="7"/>
      <c r="T27" s="318">
        <f>E27+G27</f>
        <v>2292</v>
      </c>
      <c r="U27" s="7"/>
      <c r="V27" s="41">
        <f>I27+K27</f>
        <v>36</v>
      </c>
    </row>
    <row r="28" spans="1:22" customFormat="1">
      <c r="A28" s="316"/>
      <c r="B28" s="7"/>
      <c r="C28" s="7"/>
      <c r="D28" s="7"/>
      <c r="E28" s="918">
        <v>2</v>
      </c>
      <c r="F28" s="918"/>
      <c r="G28" s="918"/>
      <c r="H28" s="41"/>
      <c r="I28" s="918">
        <v>2</v>
      </c>
      <c r="J28" s="918"/>
      <c r="K28" s="918"/>
      <c r="L28" s="41"/>
      <c r="M28" s="41"/>
      <c r="N28" s="326"/>
      <c r="O28" s="319"/>
      <c r="P28" s="7"/>
      <c r="Q28" s="65"/>
      <c r="R28" s="7"/>
      <c r="S28" s="7"/>
      <c r="T28" s="292">
        <f>T27/2</f>
        <v>1146</v>
      </c>
      <c r="U28" s="293" t="s">
        <v>2</v>
      </c>
      <c r="V28" s="292">
        <f>V27/2</f>
        <v>18</v>
      </c>
    </row>
    <row r="29" spans="1:22" customFormat="1">
      <c r="A29" s="316"/>
      <c r="B29" s="7" t="s">
        <v>252</v>
      </c>
      <c r="C29" s="7">
        <v>4</v>
      </c>
      <c r="D29" s="7" t="s">
        <v>2</v>
      </c>
      <c r="E29" s="291">
        <v>536</v>
      </c>
      <c r="F29" s="291" t="s">
        <v>135</v>
      </c>
      <c r="G29" s="291">
        <v>520</v>
      </c>
      <c r="H29" s="238" t="s">
        <v>2</v>
      </c>
      <c r="I29" s="291">
        <v>10</v>
      </c>
      <c r="J29" s="291" t="s">
        <v>135</v>
      </c>
      <c r="K29" s="291">
        <f>K27</f>
        <v>26</v>
      </c>
      <c r="L29" s="41" t="s">
        <v>2</v>
      </c>
      <c r="M29" s="41">
        <v>4</v>
      </c>
      <c r="N29" s="326" t="s">
        <v>21</v>
      </c>
      <c r="O29" s="330">
        <f>C29*T30*V30*M29</f>
        <v>152064</v>
      </c>
      <c r="P29" s="7" t="s">
        <v>167</v>
      </c>
      <c r="Q29" s="65"/>
      <c r="R29" s="7"/>
      <c r="S29" s="7"/>
      <c r="T29" s="318">
        <f>E29+G29</f>
        <v>1056</v>
      </c>
      <c r="U29" s="7"/>
      <c r="V29" s="41">
        <f>I29+K29</f>
        <v>36</v>
      </c>
    </row>
    <row r="30" spans="1:22" customFormat="1">
      <c r="A30" s="316"/>
      <c r="B30" s="7"/>
      <c r="C30" s="7"/>
      <c r="D30" s="7"/>
      <c r="E30" s="918">
        <v>2</v>
      </c>
      <c r="F30" s="918"/>
      <c r="G30" s="918"/>
      <c r="H30" s="41"/>
      <c r="I30" s="918">
        <v>2</v>
      </c>
      <c r="J30" s="918"/>
      <c r="K30" s="918"/>
      <c r="L30" s="41"/>
      <c r="M30" s="41"/>
      <c r="N30" s="326" t="s">
        <v>21</v>
      </c>
      <c r="O30" s="328">
        <f>SUM(O27:O29)</f>
        <v>317088</v>
      </c>
      <c r="P30" s="7"/>
      <c r="Q30" s="65"/>
      <c r="R30" s="7"/>
      <c r="S30" s="7"/>
      <c r="T30" s="292">
        <f>T29/2</f>
        <v>528</v>
      </c>
      <c r="U30" s="293" t="s">
        <v>2</v>
      </c>
      <c r="V30" s="292">
        <f>V29/2</f>
        <v>18</v>
      </c>
    </row>
    <row r="31" spans="1:22" customFormat="1">
      <c r="A31" s="316"/>
      <c r="B31" s="7"/>
      <c r="C31" s="7"/>
      <c r="D31" s="7"/>
      <c r="E31" s="321"/>
      <c r="F31" s="321"/>
      <c r="G31" s="321"/>
      <c r="H31" s="41"/>
      <c r="I31" s="321"/>
      <c r="J31" s="321"/>
      <c r="K31" s="321"/>
      <c r="L31" s="41"/>
      <c r="M31" s="41"/>
      <c r="N31" s="326"/>
      <c r="O31" s="73"/>
      <c r="P31" s="7"/>
      <c r="Q31" s="65"/>
      <c r="R31" s="7"/>
      <c r="S31" s="7"/>
      <c r="T31" s="310"/>
      <c r="U31" s="311"/>
      <c r="V31" s="310"/>
    </row>
    <row r="32" spans="1:22" ht="15" customHeight="1">
      <c r="B32" s="7" t="s">
        <v>246</v>
      </c>
      <c r="C32" s="919">
        <f>O30</f>
        <v>317088</v>
      </c>
      <c r="D32" s="920"/>
      <c r="E32" s="920"/>
      <c r="F32" s="41" t="s">
        <v>167</v>
      </c>
      <c r="G32" s="41"/>
      <c r="H32" s="41"/>
      <c r="I32" s="290" t="s">
        <v>188</v>
      </c>
      <c r="J32" s="921">
        <v>263</v>
      </c>
      <c r="K32" s="921"/>
      <c r="L32" s="41"/>
      <c r="M32" s="41" t="s">
        <v>247</v>
      </c>
      <c r="N32" s="326"/>
      <c r="P32" s="7" t="s">
        <v>5</v>
      </c>
      <c r="Q32" s="72">
        <f>C32*J32/1000</f>
        <v>83394.144</v>
      </c>
    </row>
    <row r="33" spans="1:19" ht="15" customHeight="1">
      <c r="B33" s="68"/>
      <c r="C33" s="69"/>
      <c r="D33" s="69"/>
      <c r="E33" s="68"/>
      <c r="F33" s="41"/>
      <c r="G33" s="41"/>
      <c r="H33" s="41"/>
      <c r="I33" s="41"/>
      <c r="J33" s="41"/>
      <c r="K33" s="41"/>
      <c r="L33" s="41"/>
      <c r="M33" s="272"/>
      <c r="N33" s="326"/>
      <c r="Q33" s="72"/>
    </row>
    <row r="34" spans="1:19" ht="15" customHeight="1">
      <c r="B34" s="924" t="s">
        <v>272</v>
      </c>
      <c r="C34" s="924"/>
      <c r="D34" s="924"/>
      <c r="E34" s="924"/>
      <c r="F34" s="924"/>
      <c r="G34" s="924"/>
      <c r="H34" s="41"/>
      <c r="I34" s="41"/>
      <c r="J34" s="41"/>
      <c r="K34" s="41"/>
      <c r="L34" s="41"/>
      <c r="M34" s="272"/>
      <c r="N34" s="326"/>
      <c r="Q34" s="72"/>
    </row>
    <row r="35" spans="1:19" ht="15" customHeight="1">
      <c r="A35" s="319">
        <v>1</v>
      </c>
      <c r="B35" s="7" t="s">
        <v>95</v>
      </c>
      <c r="E35" s="319"/>
      <c r="Q35" s="65"/>
    </row>
    <row r="36" spans="1:19" ht="15" customHeight="1">
      <c r="B36" s="7" t="s">
        <v>278</v>
      </c>
      <c r="E36" s="319"/>
      <c r="Q36" s="65"/>
    </row>
    <row r="37" spans="1:19" ht="15" customHeight="1">
      <c r="B37" s="7" t="s">
        <v>279</v>
      </c>
      <c r="E37" s="319"/>
      <c r="Q37" s="65"/>
    </row>
    <row r="38" spans="1:19" ht="15" customHeight="1">
      <c r="E38" s="319"/>
      <c r="H38" s="63">
        <v>2</v>
      </c>
      <c r="Q38" s="65"/>
    </row>
    <row r="39" spans="1:19" ht="15" customHeight="1">
      <c r="C39" s="329">
        <v>2</v>
      </c>
      <c r="D39" s="7" t="s">
        <v>2</v>
      </c>
      <c r="E39" s="293">
        <v>0.78500000000000003</v>
      </c>
      <c r="F39" s="7" t="s">
        <v>2</v>
      </c>
      <c r="G39" s="299">
        <v>8</v>
      </c>
      <c r="H39" s="319" t="s">
        <v>2</v>
      </c>
      <c r="I39" s="41">
        <v>5</v>
      </c>
      <c r="K39" s="238"/>
      <c r="L39" s="7" t="s">
        <v>3</v>
      </c>
      <c r="M39" s="41"/>
      <c r="N39" s="63"/>
      <c r="O39" s="326">
        <f>C39*E39*G39*I39*G39</f>
        <v>502.40000000000003</v>
      </c>
      <c r="Q39" s="72"/>
    </row>
    <row r="40" spans="1:19" ht="15" customHeight="1">
      <c r="B40" s="7" t="s">
        <v>246</v>
      </c>
      <c r="C40" s="919">
        <f>O39</f>
        <v>502.40000000000003</v>
      </c>
      <c r="D40" s="920"/>
      <c r="E40" s="920"/>
      <c r="F40" s="41" t="s">
        <v>167</v>
      </c>
      <c r="G40" s="41"/>
      <c r="H40" s="41"/>
      <c r="I40" s="290" t="s">
        <v>188</v>
      </c>
      <c r="J40" s="921">
        <v>3176.25</v>
      </c>
      <c r="K40" s="921"/>
      <c r="L40" s="41"/>
      <c r="M40" s="41" t="s">
        <v>247</v>
      </c>
      <c r="N40" s="326"/>
      <c r="P40" s="7" t="s">
        <v>5</v>
      </c>
      <c r="Q40" s="72">
        <f>C40*J40/1000</f>
        <v>1595.748</v>
      </c>
    </row>
    <row r="41" spans="1:19" ht="15" customHeight="1">
      <c r="E41" s="41"/>
      <c r="F41" s="41"/>
      <c r="G41" s="41"/>
      <c r="H41" s="41"/>
      <c r="I41" s="41"/>
      <c r="J41" s="41"/>
      <c r="K41" s="41"/>
      <c r="L41" s="41"/>
      <c r="M41" s="66"/>
      <c r="N41" s="326"/>
      <c r="Q41" s="72"/>
    </row>
    <row r="42" spans="1:19" ht="15" customHeight="1">
      <c r="A42" s="319">
        <v>2</v>
      </c>
      <c r="B42" s="7" t="s">
        <v>100</v>
      </c>
      <c r="E42" s="41"/>
      <c r="F42" s="41"/>
      <c r="G42" s="41"/>
      <c r="H42" s="41"/>
      <c r="I42" s="41"/>
      <c r="J42" s="41"/>
      <c r="K42" s="41"/>
      <c r="L42" s="41"/>
      <c r="M42" s="41"/>
      <c r="N42" s="326"/>
      <c r="Q42" s="72"/>
    </row>
    <row r="43" spans="1:19" ht="15" customHeight="1">
      <c r="B43" s="7" t="s">
        <v>101</v>
      </c>
      <c r="E43" s="41"/>
      <c r="F43" s="41"/>
      <c r="G43" s="41"/>
      <c r="H43" s="41"/>
      <c r="I43" s="41"/>
      <c r="J43" s="41"/>
      <c r="K43" s="41"/>
      <c r="L43" s="41"/>
      <c r="M43" s="41"/>
      <c r="N43" s="326"/>
      <c r="Q43" s="72"/>
    </row>
    <row r="44" spans="1:19" ht="15" customHeight="1">
      <c r="C44" s="319">
        <v>2</v>
      </c>
      <c r="D44" s="7" t="s">
        <v>2</v>
      </c>
      <c r="E44" s="41">
        <v>9</v>
      </c>
      <c r="F44" s="41" t="s">
        <v>2</v>
      </c>
      <c r="G44" s="41">
        <v>4</v>
      </c>
      <c r="H44" s="41" t="s">
        <v>2</v>
      </c>
      <c r="I44" s="41">
        <v>0.5</v>
      </c>
      <c r="J44" s="41"/>
      <c r="K44" s="41"/>
      <c r="L44" s="41" t="s">
        <v>3</v>
      </c>
      <c r="M44" s="235">
        <f t="shared" ref="M44" si="0">I44*G44*E44*C44</f>
        <v>36</v>
      </c>
      <c r="N44" s="326" t="s">
        <v>18</v>
      </c>
      <c r="Q44" s="65" t="s">
        <v>15</v>
      </c>
      <c r="R44" s="7" t="s">
        <v>15</v>
      </c>
      <c r="S44" s="7" t="s">
        <v>15</v>
      </c>
    </row>
    <row r="45" spans="1:19" ht="15" customHeight="1">
      <c r="C45" s="319"/>
      <c r="E45" s="41"/>
      <c r="F45" s="41"/>
      <c r="G45" s="41"/>
      <c r="H45" s="72">
        <v>2</v>
      </c>
      <c r="I45" s="41"/>
      <c r="J45" s="41"/>
      <c r="K45" s="41"/>
      <c r="L45" s="41"/>
      <c r="M45" s="41"/>
      <c r="N45" s="326"/>
      <c r="Q45" s="65"/>
    </row>
    <row r="46" spans="1:19" ht="15" customHeight="1">
      <c r="C46" s="329">
        <f>C44</f>
        <v>2</v>
      </c>
      <c r="D46" s="7" t="s">
        <v>2</v>
      </c>
      <c r="E46" s="293">
        <v>0.78500000000000003</v>
      </c>
      <c r="F46" s="7" t="s">
        <v>2</v>
      </c>
      <c r="G46" s="299">
        <v>8</v>
      </c>
      <c r="H46" s="319" t="s">
        <v>2</v>
      </c>
      <c r="I46" s="41">
        <v>0.75</v>
      </c>
      <c r="K46" s="238"/>
      <c r="L46" s="7" t="s">
        <v>3</v>
      </c>
      <c r="M46" s="318">
        <f>E46*G46*I46*G46</f>
        <v>37.68</v>
      </c>
      <c r="N46" s="63" t="s">
        <v>167</v>
      </c>
      <c r="O46" s="326"/>
      <c r="Q46" s="72"/>
    </row>
    <row r="47" spans="1:19" ht="15" customHeight="1">
      <c r="C47" s="319"/>
      <c r="E47" s="41"/>
      <c r="F47" s="41"/>
      <c r="G47" s="41"/>
      <c r="H47" s="41"/>
      <c r="I47" s="41"/>
      <c r="J47" s="41"/>
      <c r="K47" s="41"/>
      <c r="L47" s="41" t="s">
        <v>21</v>
      </c>
      <c r="M47" s="318">
        <f>SUM(M44:M46)</f>
        <v>73.680000000000007</v>
      </c>
      <c r="N47" s="326"/>
      <c r="Q47" s="65"/>
    </row>
    <row r="48" spans="1:19" ht="15" customHeight="1">
      <c r="B48" s="7" t="s">
        <v>246</v>
      </c>
      <c r="C48" s="922">
        <f>M47</f>
        <v>73.680000000000007</v>
      </c>
      <c r="D48" s="922"/>
      <c r="E48" s="922"/>
      <c r="F48" s="41" t="s">
        <v>167</v>
      </c>
      <c r="G48" s="41"/>
      <c r="H48" s="41"/>
      <c r="I48" s="290" t="s">
        <v>188</v>
      </c>
      <c r="J48" s="921">
        <v>9416.2800000000007</v>
      </c>
      <c r="K48" s="921"/>
      <c r="L48" s="41"/>
      <c r="M48" s="41" t="s">
        <v>197</v>
      </c>
      <c r="N48" s="326"/>
      <c r="P48" s="7" t="s">
        <v>5</v>
      </c>
      <c r="Q48" s="72">
        <f>C48*J48/100</f>
        <v>6937.9151040000015</v>
      </c>
    </row>
    <row r="49" spans="1:19" ht="15" customHeight="1">
      <c r="E49" s="41"/>
      <c r="F49" s="41"/>
      <c r="G49" s="41"/>
      <c r="H49" s="41"/>
      <c r="I49" s="41"/>
      <c r="J49" s="41"/>
      <c r="K49" s="41"/>
      <c r="L49" s="41"/>
      <c r="M49" s="41"/>
      <c r="N49" s="326"/>
      <c r="Q49" s="72"/>
    </row>
    <row r="50" spans="1:19" ht="15" customHeight="1">
      <c r="E50" s="41"/>
      <c r="F50" s="41"/>
      <c r="G50" s="41"/>
      <c r="H50" s="41"/>
      <c r="I50" s="41"/>
      <c r="J50" s="41"/>
      <c r="K50" s="41"/>
      <c r="L50" s="41"/>
      <c r="M50" s="41"/>
      <c r="N50" s="326"/>
      <c r="Q50" s="72"/>
    </row>
    <row r="51" spans="1:19" ht="15" customHeight="1">
      <c r="A51" s="731"/>
      <c r="E51" s="41"/>
      <c r="F51" s="41"/>
      <c r="G51" s="41"/>
      <c r="H51" s="41"/>
      <c r="I51" s="41"/>
      <c r="J51" s="41"/>
      <c r="K51" s="41"/>
      <c r="L51" s="41"/>
      <c r="M51" s="41"/>
      <c r="N51" s="728"/>
      <c r="Q51" s="72"/>
    </row>
    <row r="52" spans="1:19" ht="15" customHeight="1">
      <c r="A52" s="731"/>
      <c r="E52" s="41"/>
      <c r="F52" s="41"/>
      <c r="G52" s="41"/>
      <c r="H52" s="41"/>
      <c r="I52" s="41"/>
      <c r="J52" s="41"/>
      <c r="K52" s="41"/>
      <c r="L52" s="41"/>
      <c r="M52" s="41"/>
      <c r="N52" s="728"/>
      <c r="Q52" s="72"/>
    </row>
    <row r="53" spans="1:19" ht="15" customHeight="1">
      <c r="E53" s="41"/>
      <c r="F53" s="41"/>
      <c r="G53" s="41"/>
      <c r="H53" s="41"/>
      <c r="I53" s="41"/>
      <c r="J53" s="41"/>
      <c r="K53" s="41"/>
      <c r="L53" s="41"/>
      <c r="M53" s="41"/>
      <c r="N53" s="326"/>
      <c r="Q53" s="72"/>
    </row>
    <row r="54" spans="1:19" ht="15" customHeight="1">
      <c r="E54" s="41"/>
      <c r="F54" s="41"/>
      <c r="G54" s="41"/>
      <c r="H54" s="41"/>
      <c r="I54" s="41"/>
      <c r="J54" s="41"/>
      <c r="K54" s="41"/>
      <c r="L54" s="41"/>
      <c r="M54" s="41"/>
      <c r="N54" s="326"/>
      <c r="Q54" s="72"/>
    </row>
    <row r="55" spans="1:19" ht="15" customHeight="1">
      <c r="E55" s="41"/>
      <c r="F55" s="41"/>
      <c r="G55" s="41"/>
      <c r="H55" s="41"/>
      <c r="I55" s="41"/>
      <c r="J55" s="41"/>
      <c r="K55" s="41"/>
      <c r="L55" s="41"/>
      <c r="M55" s="41"/>
      <c r="N55" s="326"/>
      <c r="Q55" s="72"/>
    </row>
    <row r="56" spans="1:19" ht="15" customHeight="1">
      <c r="A56" s="319">
        <v>3</v>
      </c>
      <c r="B56" s="7" t="s">
        <v>13</v>
      </c>
      <c r="N56" s="63"/>
      <c r="Q56" s="72"/>
    </row>
    <row r="57" spans="1:19" ht="15" customHeight="1">
      <c r="B57" s="21" t="s">
        <v>104</v>
      </c>
      <c r="C57" s="21"/>
      <c r="D57" s="21"/>
      <c r="E57" s="21"/>
      <c r="F57" s="21"/>
      <c r="G57" s="21"/>
      <c r="H57" s="21"/>
      <c r="N57" s="63"/>
      <c r="Q57" s="72"/>
    </row>
    <row r="58" spans="1:19" ht="15" customHeight="1">
      <c r="B58" s="21" t="s">
        <v>105</v>
      </c>
      <c r="C58" s="21"/>
      <c r="D58" s="21"/>
      <c r="E58" s="21"/>
      <c r="F58" s="21"/>
      <c r="G58" s="21"/>
      <c r="H58" s="21"/>
      <c r="N58" s="63"/>
      <c r="Q58" s="72"/>
    </row>
    <row r="59" spans="1:19" ht="15" customHeight="1">
      <c r="B59" s="7" t="s">
        <v>106</v>
      </c>
      <c r="N59" s="63"/>
      <c r="Q59" s="72"/>
    </row>
    <row r="60" spans="1:19" ht="15" customHeight="1">
      <c r="B60" s="7" t="s">
        <v>107</v>
      </c>
      <c r="N60" s="63"/>
      <c r="Q60" s="72"/>
    </row>
    <row r="61" spans="1:19" ht="15" customHeight="1">
      <c r="B61" s="7" t="s">
        <v>108</v>
      </c>
      <c r="N61" s="63"/>
      <c r="Q61" s="72"/>
    </row>
    <row r="62" spans="1:19" ht="15" customHeight="1">
      <c r="B62" s="7" t="s">
        <v>109</v>
      </c>
      <c r="N62" s="63"/>
      <c r="Q62" s="72"/>
    </row>
    <row r="63" spans="1:19" ht="15" customHeight="1">
      <c r="N63" s="63"/>
      <c r="Q63" s="72"/>
    </row>
    <row r="64" spans="1:19" ht="15" customHeight="1">
      <c r="B64" s="7" t="s">
        <v>256</v>
      </c>
      <c r="C64" s="319">
        <v>3</v>
      </c>
      <c r="D64" s="7" t="s">
        <v>2</v>
      </c>
      <c r="E64" s="41">
        <v>8</v>
      </c>
      <c r="F64" s="41" t="s">
        <v>2</v>
      </c>
      <c r="G64" s="41">
        <v>4</v>
      </c>
      <c r="H64" s="41" t="s">
        <v>2</v>
      </c>
      <c r="I64" s="41">
        <v>0.5</v>
      </c>
      <c r="J64" s="41"/>
      <c r="K64" s="41"/>
      <c r="L64" s="41" t="s">
        <v>3</v>
      </c>
      <c r="M64" s="318">
        <f>I64*G64*E64*C64</f>
        <v>48</v>
      </c>
      <c r="N64" s="326" t="s">
        <v>18</v>
      </c>
      <c r="O64" s="41"/>
      <c r="Q64" s="65" t="s">
        <v>15</v>
      </c>
      <c r="R64" s="7" t="s">
        <v>15</v>
      </c>
      <c r="S64" s="7" t="s">
        <v>15</v>
      </c>
    </row>
    <row r="65" spans="1:18" s="80" customFormat="1" ht="23.25" customHeight="1">
      <c r="A65" s="204"/>
      <c r="B65" s="80" t="s">
        <v>220</v>
      </c>
      <c r="C65" s="333">
        <f>C44</f>
        <v>2</v>
      </c>
      <c r="D65" s="80" t="s">
        <v>2</v>
      </c>
      <c r="E65" s="336">
        <v>0.78500000000000003</v>
      </c>
      <c r="F65" s="334" t="s">
        <v>2</v>
      </c>
      <c r="G65" s="334">
        <v>7.5</v>
      </c>
      <c r="H65" s="334" t="s">
        <v>2</v>
      </c>
      <c r="I65" s="334">
        <f>G65</f>
        <v>7.5</v>
      </c>
      <c r="J65" s="334" t="s">
        <v>2</v>
      </c>
      <c r="K65" s="334">
        <v>0.75</v>
      </c>
      <c r="L65" s="334" t="s">
        <v>3</v>
      </c>
      <c r="M65" s="335">
        <f>E65*G65*I65*K65</f>
        <v>33.1171875</v>
      </c>
      <c r="N65" s="253" t="s">
        <v>18</v>
      </c>
      <c r="O65" s="334"/>
      <c r="Q65" s="254"/>
    </row>
    <row r="66" spans="1:18" s="80" customFormat="1" ht="27.75" customHeight="1">
      <c r="A66" s="204"/>
      <c r="B66" s="80" t="s">
        <v>257</v>
      </c>
      <c r="C66" s="333">
        <f>C65</f>
        <v>2</v>
      </c>
      <c r="D66" s="80" t="s">
        <v>2</v>
      </c>
      <c r="E66" s="334">
        <v>3.14</v>
      </c>
      <c r="F66" s="334" t="s">
        <v>2</v>
      </c>
      <c r="G66" s="334">
        <v>6.75</v>
      </c>
      <c r="H66" s="334" t="s">
        <v>2</v>
      </c>
      <c r="I66" s="334">
        <v>0.75</v>
      </c>
      <c r="J66" s="334" t="s">
        <v>2</v>
      </c>
      <c r="K66" s="334">
        <v>10</v>
      </c>
      <c r="L66" s="334" t="s">
        <v>3</v>
      </c>
      <c r="M66" s="335">
        <f>E66*G66*I66*K66</f>
        <v>158.96250000000001</v>
      </c>
      <c r="N66" s="253" t="s">
        <v>18</v>
      </c>
      <c r="O66" s="334"/>
      <c r="Q66" s="254"/>
    </row>
    <row r="67" spans="1:18" ht="15" customHeight="1">
      <c r="E67" s="41"/>
      <c r="F67" s="925"/>
      <c r="G67" s="925"/>
      <c r="H67" s="41"/>
      <c r="I67" s="41"/>
      <c r="J67" s="41"/>
      <c r="K67" s="41"/>
      <c r="L67" s="41" t="s">
        <v>21</v>
      </c>
      <c r="M67" s="318">
        <f>SUM(M64:M66)</f>
        <v>240.07968750000001</v>
      </c>
      <c r="N67" s="326" t="s">
        <v>18</v>
      </c>
      <c r="O67" s="41"/>
      <c r="Q67" s="72"/>
    </row>
    <row r="68" spans="1:18" ht="15" customHeight="1">
      <c r="B68" s="7" t="s">
        <v>246</v>
      </c>
      <c r="C68" s="922">
        <f>M67</f>
        <v>240.07968750000001</v>
      </c>
      <c r="D68" s="922"/>
      <c r="E68" s="922"/>
      <c r="F68" s="41" t="s">
        <v>167</v>
      </c>
      <c r="G68" s="41"/>
      <c r="H68" s="41"/>
      <c r="I68" s="290" t="s">
        <v>188</v>
      </c>
      <c r="J68" s="921">
        <v>337</v>
      </c>
      <c r="K68" s="921"/>
      <c r="L68" s="41"/>
      <c r="M68" s="41" t="s">
        <v>258</v>
      </c>
      <c r="N68" s="326"/>
      <c r="P68" s="7" t="s">
        <v>5</v>
      </c>
      <c r="Q68" s="72">
        <f>C68*J68</f>
        <v>80906.854687500003</v>
      </c>
    </row>
    <row r="69" spans="1:18" ht="15" customHeight="1">
      <c r="E69" s="41"/>
      <c r="F69" s="318"/>
      <c r="G69" s="318"/>
      <c r="H69" s="41"/>
      <c r="I69" s="41"/>
      <c r="J69" s="41"/>
      <c r="K69" s="41"/>
      <c r="L69" s="41"/>
      <c r="M69" s="41"/>
      <c r="N69" s="326"/>
      <c r="O69" s="41"/>
      <c r="Q69" s="72"/>
    </row>
    <row r="70" spans="1:18" ht="15" customHeight="1">
      <c r="A70" s="331">
        <v>4</v>
      </c>
      <c r="B70" s="7" t="s">
        <v>110</v>
      </c>
      <c r="E70" s="41"/>
      <c r="F70" s="41"/>
      <c r="G70" s="41"/>
      <c r="H70" s="41"/>
      <c r="I70" s="41"/>
      <c r="J70" s="41"/>
      <c r="K70" s="41"/>
      <c r="L70" s="41"/>
      <c r="M70" s="41"/>
      <c r="N70" s="326"/>
      <c r="O70" s="41"/>
      <c r="Q70" s="72"/>
    </row>
    <row r="71" spans="1:18" ht="15" customHeight="1">
      <c r="A71" s="331"/>
      <c r="B71" s="7" t="s">
        <v>111</v>
      </c>
      <c r="E71" s="41"/>
      <c r="F71" s="41"/>
      <c r="G71" s="41"/>
      <c r="H71" s="41"/>
      <c r="I71" s="41"/>
      <c r="J71" s="41"/>
      <c r="K71" s="41"/>
      <c r="L71" s="41"/>
      <c r="M71" s="41"/>
      <c r="N71" s="326"/>
      <c r="O71" s="41"/>
      <c r="Q71" s="72"/>
    </row>
    <row r="72" spans="1:18" ht="15" customHeight="1">
      <c r="A72" s="331"/>
      <c r="B72" s="7" t="s">
        <v>112</v>
      </c>
      <c r="E72" s="41"/>
      <c r="F72" s="41"/>
      <c r="G72" s="41"/>
      <c r="H72" s="41"/>
      <c r="I72" s="41"/>
      <c r="J72" s="41"/>
      <c r="K72" s="41"/>
      <c r="L72" s="41"/>
      <c r="M72" s="41"/>
      <c r="N72" s="326"/>
      <c r="O72" s="41"/>
      <c r="Q72" s="72"/>
    </row>
    <row r="73" spans="1:18" ht="15" customHeight="1">
      <c r="B73" s="318">
        <f>M67</f>
        <v>240.07968750000001</v>
      </c>
      <c r="C73" s="7" t="s">
        <v>2</v>
      </c>
      <c r="E73" s="41">
        <v>4.5</v>
      </c>
      <c r="F73" s="41" t="s">
        <v>31</v>
      </c>
      <c r="G73" s="923">
        <v>112</v>
      </c>
      <c r="H73" s="923"/>
      <c r="I73" s="41"/>
      <c r="J73" s="41"/>
      <c r="K73" s="41"/>
      <c r="L73" s="41" t="s">
        <v>3</v>
      </c>
      <c r="M73" s="41">
        <f>(B73*E73)/G73</f>
        <v>9.6460588727678562</v>
      </c>
      <c r="N73" s="326" t="s">
        <v>9</v>
      </c>
      <c r="O73" s="41"/>
      <c r="Q73" s="72"/>
    </row>
    <row r="74" spans="1:18" ht="15" customHeight="1">
      <c r="B74" s="7" t="s">
        <v>246</v>
      </c>
      <c r="C74" s="922">
        <f>M73</f>
        <v>9.6460588727678562</v>
      </c>
      <c r="D74" s="922"/>
      <c r="E74" s="922"/>
      <c r="F74" s="41" t="s">
        <v>184</v>
      </c>
      <c r="G74" s="41"/>
      <c r="H74" s="41"/>
      <c r="I74" s="290" t="s">
        <v>188</v>
      </c>
      <c r="J74" s="921">
        <v>5001.7</v>
      </c>
      <c r="K74" s="921"/>
      <c r="L74" s="41"/>
      <c r="M74" s="41" t="s">
        <v>259</v>
      </c>
      <c r="N74" s="326"/>
      <c r="P74" s="7" t="s">
        <v>5</v>
      </c>
      <c r="Q74" s="72">
        <f>C74*J74</f>
        <v>48246.692663922986</v>
      </c>
    </row>
    <row r="75" spans="1:18" ht="15" customHeight="1">
      <c r="E75" s="41"/>
      <c r="F75" s="41"/>
      <c r="G75" s="41"/>
      <c r="H75" s="41"/>
      <c r="I75" s="41"/>
      <c r="J75" s="41"/>
      <c r="K75" s="41"/>
      <c r="L75" s="41"/>
      <c r="M75" s="41"/>
      <c r="N75" s="326"/>
      <c r="O75" s="41"/>
      <c r="Q75" s="72"/>
    </row>
    <row r="76" spans="1:18" ht="15" customHeight="1">
      <c r="A76" s="331">
        <v>5</v>
      </c>
      <c r="B76" s="7" t="s">
        <v>260</v>
      </c>
      <c r="E76" s="41"/>
      <c r="F76" s="41"/>
      <c r="G76" s="41"/>
      <c r="H76" s="41"/>
      <c r="I76" s="41"/>
      <c r="J76" s="41"/>
      <c r="K76" s="41"/>
      <c r="L76" s="41"/>
      <c r="M76" s="41"/>
      <c r="N76" s="326"/>
      <c r="O76" s="41"/>
      <c r="Q76" s="72"/>
    </row>
    <row r="77" spans="1:18" ht="18.75" customHeight="1">
      <c r="B77" s="7" t="s">
        <v>246</v>
      </c>
      <c r="C77" s="929">
        <v>48</v>
      </c>
      <c r="D77" s="929"/>
      <c r="E77" s="929"/>
      <c r="F77" s="41" t="s">
        <v>167</v>
      </c>
      <c r="G77" s="41"/>
      <c r="H77" s="41"/>
      <c r="I77" s="290" t="s">
        <v>188</v>
      </c>
      <c r="J77" s="930">
        <v>350</v>
      </c>
      <c r="K77" s="930"/>
      <c r="L77" s="41"/>
      <c r="M77" s="41" t="s">
        <v>258</v>
      </c>
      <c r="N77" s="326"/>
      <c r="P77" s="7" t="s">
        <v>5</v>
      </c>
      <c r="Q77" s="72">
        <f>C77*J77</f>
        <v>16800</v>
      </c>
    </row>
    <row r="78" spans="1:18" ht="15" customHeight="1">
      <c r="A78" s="331"/>
      <c r="E78" s="41"/>
      <c r="F78" s="41"/>
      <c r="G78" s="41"/>
      <c r="H78" s="41"/>
      <c r="I78" s="41"/>
      <c r="J78" s="41"/>
      <c r="K78" s="41"/>
      <c r="L78" s="41"/>
      <c r="M78" s="41"/>
      <c r="N78" s="326"/>
      <c r="O78" s="41"/>
      <c r="Q78" s="72"/>
    </row>
    <row r="79" spans="1:18" customFormat="1">
      <c r="A79" s="316">
        <v>6</v>
      </c>
      <c r="B79" s="7" t="s">
        <v>87</v>
      </c>
      <c r="C79" s="316"/>
      <c r="D79" s="316"/>
      <c r="E79" s="316"/>
      <c r="F79" s="316"/>
      <c r="G79" s="316"/>
      <c r="H79" s="316"/>
      <c r="I79" s="316"/>
      <c r="J79" s="316"/>
      <c r="K79" s="316"/>
      <c r="L79" s="316"/>
      <c r="N79" s="317"/>
      <c r="O79" s="324"/>
      <c r="P79" s="19"/>
      <c r="Q79" s="317"/>
      <c r="R79" s="324"/>
    </row>
    <row r="80" spans="1:18" customFormat="1">
      <c r="A80" s="316"/>
      <c r="B80" s="7" t="s">
        <v>80</v>
      </c>
      <c r="C80" s="316"/>
      <c r="D80" s="316"/>
      <c r="E80" s="316"/>
      <c r="F80" s="316"/>
      <c r="G80" s="316"/>
      <c r="H80" s="316"/>
      <c r="I80" s="316"/>
      <c r="J80" s="316"/>
      <c r="K80" s="316"/>
      <c r="L80" s="316"/>
      <c r="N80" s="317"/>
      <c r="O80" s="324"/>
      <c r="P80" s="19"/>
      <c r="Q80" s="317"/>
      <c r="R80" s="324"/>
    </row>
    <row r="81" spans="1:19" customFormat="1">
      <c r="A81" s="316"/>
      <c r="B81" s="7" t="s">
        <v>81</v>
      </c>
      <c r="C81" s="316"/>
      <c r="D81" s="316"/>
      <c r="E81" s="316"/>
      <c r="F81" s="316"/>
      <c r="G81" s="316"/>
      <c r="H81" s="316"/>
      <c r="I81" s="316"/>
      <c r="J81" s="316"/>
      <c r="K81" s="316"/>
      <c r="L81" s="316"/>
      <c r="N81" s="317"/>
      <c r="O81" s="324"/>
      <c r="P81" s="19"/>
      <c r="Q81" s="317"/>
      <c r="R81" s="324"/>
    </row>
    <row r="82" spans="1:19" customFormat="1">
      <c r="A82" s="316"/>
      <c r="B82" s="7" t="s">
        <v>82</v>
      </c>
      <c r="C82" s="316"/>
      <c r="D82" s="316"/>
      <c r="E82" s="316"/>
      <c r="F82" s="316"/>
      <c r="G82" s="316"/>
      <c r="H82" s="316"/>
      <c r="I82" s="316"/>
      <c r="J82" s="316"/>
      <c r="K82" s="316"/>
      <c r="L82" s="316"/>
      <c r="N82" s="317"/>
      <c r="O82" s="324"/>
      <c r="P82" s="19"/>
      <c r="Q82" s="317"/>
      <c r="R82" s="324"/>
    </row>
    <row r="83" spans="1:19" customFormat="1">
      <c r="A83" s="316"/>
      <c r="B83" s="7" t="s">
        <v>83</v>
      </c>
      <c r="C83" s="316"/>
      <c r="D83" s="316"/>
      <c r="E83" s="316"/>
      <c r="F83" s="316"/>
      <c r="G83" s="316"/>
      <c r="H83" s="316"/>
      <c r="I83" s="316"/>
      <c r="J83" s="316"/>
      <c r="K83" s="316"/>
      <c r="L83" s="316"/>
      <c r="N83" s="317"/>
      <c r="O83" s="324"/>
      <c r="P83" s="19"/>
      <c r="Q83" s="317"/>
      <c r="R83" s="324"/>
    </row>
    <row r="84" spans="1:19" customFormat="1">
      <c r="A84" s="316"/>
      <c r="B84" s="7" t="s">
        <v>84</v>
      </c>
      <c r="C84" s="316"/>
      <c r="D84" s="316"/>
      <c r="E84" s="316"/>
      <c r="F84" s="316"/>
      <c r="G84" s="316"/>
      <c r="H84" s="316"/>
      <c r="I84" s="316"/>
      <c r="J84" s="316"/>
      <c r="K84" s="316"/>
      <c r="L84" s="316"/>
      <c r="N84" s="317"/>
      <c r="O84" s="324"/>
      <c r="P84" s="19"/>
      <c r="Q84" s="317"/>
      <c r="R84" s="324"/>
    </row>
    <row r="85" spans="1:19" customFormat="1">
      <c r="A85" s="316"/>
      <c r="B85" s="7" t="s">
        <v>130</v>
      </c>
      <c r="C85" s="316"/>
      <c r="D85" s="316"/>
      <c r="E85" s="316"/>
      <c r="F85" s="316"/>
      <c r="G85" s="316"/>
      <c r="H85" s="316"/>
      <c r="I85" s="316"/>
      <c r="J85" s="316"/>
      <c r="K85" s="316"/>
      <c r="L85" s="316"/>
      <c r="N85" s="317"/>
      <c r="O85" s="324"/>
      <c r="P85" s="19"/>
      <c r="Q85" s="317"/>
      <c r="R85" s="324"/>
    </row>
    <row r="86" spans="1:19" ht="15" customHeight="1">
      <c r="A86" s="331"/>
      <c r="B86" s="7" t="s">
        <v>261</v>
      </c>
      <c r="E86" s="41"/>
      <c r="F86" s="41"/>
      <c r="G86" s="41"/>
      <c r="H86" s="41"/>
      <c r="I86" s="41"/>
      <c r="J86" s="41"/>
      <c r="K86" s="41"/>
      <c r="L86" s="41"/>
      <c r="M86" s="41"/>
      <c r="N86" s="326"/>
      <c r="O86" s="41"/>
      <c r="Q86" s="72"/>
    </row>
    <row r="87" spans="1:19" ht="15" customHeight="1">
      <c r="C87" s="319">
        <v>3</v>
      </c>
      <c r="D87" s="7" t="s">
        <v>2</v>
      </c>
      <c r="E87" s="79">
        <v>64</v>
      </c>
      <c r="F87" s="41" t="s">
        <v>2</v>
      </c>
      <c r="G87" s="41">
        <v>4</v>
      </c>
      <c r="H87" s="41" t="s">
        <v>2</v>
      </c>
      <c r="I87" s="41">
        <v>4</v>
      </c>
      <c r="J87" s="41"/>
      <c r="K87" s="41"/>
      <c r="L87" s="41" t="s">
        <v>3</v>
      </c>
      <c r="M87" s="79">
        <f>C87*E87*G87*I87</f>
        <v>3072</v>
      </c>
      <c r="N87" s="326" t="s">
        <v>18</v>
      </c>
      <c r="O87" s="41"/>
      <c r="Q87" s="65" t="s">
        <v>15</v>
      </c>
      <c r="R87" s="7" t="s">
        <v>15</v>
      </c>
      <c r="S87" s="7" t="s">
        <v>15</v>
      </c>
    </row>
    <row r="88" spans="1:19" ht="15" customHeight="1">
      <c r="C88" s="319">
        <v>1</v>
      </c>
      <c r="D88" s="7" t="s">
        <v>2</v>
      </c>
      <c r="E88" s="79">
        <v>50</v>
      </c>
      <c r="F88" s="41" t="s">
        <v>2</v>
      </c>
      <c r="G88" s="41">
        <v>4</v>
      </c>
      <c r="H88" s="41" t="s">
        <v>2</v>
      </c>
      <c r="I88" s="41">
        <v>3</v>
      </c>
      <c r="J88" s="41"/>
      <c r="K88" s="41"/>
      <c r="L88" s="41" t="s">
        <v>3</v>
      </c>
      <c r="M88" s="736">
        <f>C88*E88*G88*I88</f>
        <v>600</v>
      </c>
      <c r="N88" s="326" t="s">
        <v>18</v>
      </c>
      <c r="O88" s="41"/>
      <c r="Q88" s="65" t="s">
        <v>15</v>
      </c>
      <c r="R88" s="7" t="s">
        <v>15</v>
      </c>
      <c r="S88" s="7" t="s">
        <v>15</v>
      </c>
    </row>
    <row r="89" spans="1:19" ht="15" customHeight="1">
      <c r="A89" s="331"/>
      <c r="E89" s="41"/>
      <c r="F89" s="41"/>
      <c r="G89" s="41"/>
      <c r="H89" s="41"/>
      <c r="I89" s="41"/>
      <c r="J89" s="41"/>
      <c r="K89" s="41"/>
      <c r="L89" s="66" t="s">
        <v>21</v>
      </c>
      <c r="M89" s="301">
        <f>SUM(M87:M88)</f>
        <v>3672</v>
      </c>
      <c r="N89" s="327" t="s">
        <v>18</v>
      </c>
      <c r="O89" s="41"/>
      <c r="Q89" s="72"/>
    </row>
    <row r="90" spans="1:19" ht="15" customHeight="1">
      <c r="B90" s="7" t="s">
        <v>246</v>
      </c>
      <c r="C90" s="922">
        <f>M89</f>
        <v>3672</v>
      </c>
      <c r="D90" s="922"/>
      <c r="E90" s="922"/>
      <c r="F90" s="41" t="s">
        <v>167</v>
      </c>
      <c r="G90" s="41"/>
      <c r="H90" s="41"/>
      <c r="I90" s="290" t="s">
        <v>188</v>
      </c>
      <c r="J90" s="921">
        <v>3300</v>
      </c>
      <c r="K90" s="921"/>
      <c r="L90" s="41"/>
      <c r="M90" s="41" t="s">
        <v>262</v>
      </c>
      <c r="N90" s="326"/>
      <c r="P90" s="7" t="s">
        <v>5</v>
      </c>
      <c r="Q90" s="72">
        <f>C90*J90/1000</f>
        <v>12117.6</v>
      </c>
    </row>
    <row r="91" spans="1:19" ht="11.25" customHeight="1">
      <c r="B91" s="325"/>
      <c r="C91" s="328"/>
      <c r="D91" s="328"/>
      <c r="E91" s="325"/>
      <c r="F91" s="41"/>
      <c r="G91" s="41"/>
      <c r="H91" s="41"/>
      <c r="I91" s="41"/>
      <c r="J91" s="41"/>
      <c r="K91" s="41"/>
      <c r="L91" s="41"/>
      <c r="M91" s="272"/>
      <c r="N91" s="326"/>
      <c r="O91" s="41"/>
      <c r="Q91" s="72"/>
    </row>
    <row r="92" spans="1:19" customFormat="1">
      <c r="A92" s="316">
        <v>7</v>
      </c>
      <c r="B92" s="7" t="s">
        <v>263</v>
      </c>
      <c r="C92" s="316"/>
    </row>
    <row r="93" spans="1:19" customFormat="1">
      <c r="B93" s="7" t="s">
        <v>264</v>
      </c>
      <c r="C93" s="316"/>
    </row>
    <row r="94" spans="1:19" customFormat="1">
      <c r="B94" s="7" t="s">
        <v>265</v>
      </c>
      <c r="C94" s="316"/>
      <c r="K94" s="193"/>
      <c r="L94" s="193"/>
    </row>
    <row r="95" spans="1:19" customFormat="1">
      <c r="B95" s="7" t="s">
        <v>261</v>
      </c>
      <c r="C95" s="316">
        <v>3</v>
      </c>
      <c r="D95" s="6" t="s">
        <v>2</v>
      </c>
      <c r="E95" s="2">
        <f>E87</f>
        <v>64</v>
      </c>
      <c r="K95" s="193"/>
      <c r="L95" s="302" t="s">
        <v>21</v>
      </c>
      <c r="M95" s="316">
        <f>C95*E95</f>
        <v>192</v>
      </c>
      <c r="N95" s="6" t="s">
        <v>180</v>
      </c>
    </row>
    <row r="96" spans="1:19" customFormat="1">
      <c r="B96" s="7"/>
      <c r="C96" s="316">
        <v>1</v>
      </c>
      <c r="D96" s="6" t="s">
        <v>2</v>
      </c>
      <c r="E96" s="723">
        <f>E88</f>
        <v>50</v>
      </c>
      <c r="K96" s="193"/>
      <c r="L96" s="302" t="s">
        <v>21</v>
      </c>
      <c r="M96" s="316">
        <f>C96*E96</f>
        <v>50</v>
      </c>
      <c r="N96" s="6" t="s">
        <v>180</v>
      </c>
    </row>
    <row r="97" spans="1:19" customFormat="1">
      <c r="B97" s="7"/>
      <c r="C97" s="316"/>
      <c r="D97" s="6"/>
      <c r="K97" s="193"/>
      <c r="L97" s="303" t="s">
        <v>21</v>
      </c>
      <c r="M97" s="322">
        <f>SUM(M95:M96)</f>
        <v>242</v>
      </c>
      <c r="N97" s="6"/>
    </row>
    <row r="98" spans="1:19" ht="15" customHeight="1">
      <c r="B98" s="7" t="s">
        <v>246</v>
      </c>
      <c r="C98" s="922">
        <f>M97</f>
        <v>242</v>
      </c>
      <c r="D98" s="922"/>
      <c r="E98" s="922"/>
      <c r="F98" s="41" t="s">
        <v>180</v>
      </c>
      <c r="G98" s="41"/>
      <c r="H98" s="41"/>
      <c r="I98" s="290" t="s">
        <v>188</v>
      </c>
      <c r="J98" s="921">
        <v>412</v>
      </c>
      <c r="K98" s="921"/>
      <c r="L98" s="41"/>
      <c r="M98" s="41" t="s">
        <v>266</v>
      </c>
      <c r="N98" s="326"/>
      <c r="P98" s="7" t="s">
        <v>5</v>
      </c>
      <c r="Q98" s="72">
        <f>C98*J98</f>
        <v>99704</v>
      </c>
    </row>
    <row r="99" spans="1:19" ht="15" customHeight="1">
      <c r="B99" s="318"/>
      <c r="E99" s="65"/>
      <c r="F99" s="41"/>
      <c r="G99" s="41"/>
      <c r="H99" s="41"/>
      <c r="I99" s="41"/>
      <c r="J99" s="41"/>
      <c r="K99" s="41"/>
      <c r="L99" s="41"/>
      <c r="M99" s="41"/>
      <c r="N99" s="326"/>
      <c r="O99" s="41"/>
      <c r="Q99" s="72"/>
    </row>
    <row r="100" spans="1:19" ht="15" customHeight="1">
      <c r="A100" s="331">
        <v>8</v>
      </c>
      <c r="B100" s="7" t="s">
        <v>281</v>
      </c>
      <c r="E100" s="65"/>
      <c r="F100" s="41"/>
      <c r="G100" s="41"/>
      <c r="H100" s="41"/>
      <c r="I100" s="41"/>
      <c r="J100" s="41"/>
      <c r="K100" s="41"/>
      <c r="L100" s="41"/>
      <c r="M100" s="41"/>
      <c r="N100" s="326"/>
      <c r="O100" s="41"/>
      <c r="Q100" s="72"/>
    </row>
    <row r="101" spans="1:19" ht="15" customHeight="1">
      <c r="C101" s="727">
        <v>2</v>
      </c>
      <c r="D101" s="6" t="s">
        <v>2</v>
      </c>
      <c r="E101" s="2">
        <v>8</v>
      </c>
      <c r="F101"/>
      <c r="G101"/>
      <c r="H101"/>
      <c r="I101"/>
      <c r="J101"/>
      <c r="K101" s="193"/>
      <c r="L101" s="302" t="s">
        <v>21</v>
      </c>
      <c r="M101" s="727">
        <f>C101*E101</f>
        <v>16</v>
      </c>
      <c r="N101" s="326"/>
      <c r="O101" s="41"/>
      <c r="Q101" s="65" t="s">
        <v>15</v>
      </c>
      <c r="R101" s="7" t="s">
        <v>15</v>
      </c>
      <c r="S101" s="7" t="s">
        <v>15</v>
      </c>
    </row>
    <row r="102" spans="1:19" ht="15" customHeight="1">
      <c r="B102" s="7" t="s">
        <v>246</v>
      </c>
      <c r="C102" s="922">
        <f>M101</f>
        <v>16</v>
      </c>
      <c r="D102" s="922"/>
      <c r="E102" s="922"/>
      <c r="F102" s="41" t="s">
        <v>182</v>
      </c>
      <c r="G102" s="41"/>
      <c r="H102" s="41"/>
      <c r="I102" s="290" t="s">
        <v>188</v>
      </c>
      <c r="J102" s="921">
        <v>565</v>
      </c>
      <c r="K102" s="921"/>
      <c r="L102" s="41"/>
      <c r="M102" s="41" t="s">
        <v>270</v>
      </c>
      <c r="N102" s="326"/>
      <c r="P102" s="7" t="s">
        <v>5</v>
      </c>
      <c r="Q102" s="72">
        <f>C102*J102</f>
        <v>9040</v>
      </c>
    </row>
    <row r="103" spans="1:19" ht="15" customHeight="1">
      <c r="B103" s="318"/>
      <c r="E103" s="65"/>
      <c r="F103" s="41"/>
      <c r="G103" s="41"/>
      <c r="H103" s="41"/>
      <c r="I103" s="41"/>
      <c r="J103" s="41"/>
      <c r="K103" s="41"/>
      <c r="L103" s="41"/>
      <c r="M103" s="41"/>
      <c r="N103" s="326"/>
      <c r="O103" s="41"/>
      <c r="Q103" s="72"/>
    </row>
    <row r="104" spans="1:19" ht="15" customHeight="1">
      <c r="B104" s="318"/>
      <c r="E104" s="65"/>
      <c r="F104" s="41"/>
      <c r="G104" s="41"/>
      <c r="H104" s="41"/>
      <c r="I104" s="41"/>
      <c r="J104" s="41"/>
      <c r="K104" s="41"/>
      <c r="L104" s="41"/>
      <c r="M104" s="41"/>
      <c r="N104" s="326"/>
      <c r="O104" s="41"/>
      <c r="Q104" s="72"/>
    </row>
    <row r="105" spans="1:19" ht="15" customHeight="1">
      <c r="B105" s="318"/>
      <c r="E105" s="65"/>
      <c r="F105" s="41"/>
      <c r="G105" s="41"/>
      <c r="H105" s="41"/>
      <c r="I105" s="41"/>
      <c r="J105" s="41"/>
      <c r="K105" s="41"/>
      <c r="L105" s="41"/>
      <c r="M105" s="41"/>
      <c r="N105" s="326"/>
      <c r="O105" s="41"/>
      <c r="Q105" s="72"/>
    </row>
    <row r="106" spans="1:19" ht="15" customHeight="1">
      <c r="B106" s="318"/>
      <c r="E106" s="65"/>
      <c r="F106" s="41"/>
      <c r="G106" s="41"/>
      <c r="H106" s="41"/>
      <c r="I106" s="41"/>
      <c r="J106" s="41"/>
      <c r="K106" s="41"/>
      <c r="L106" s="41"/>
      <c r="M106" s="41"/>
      <c r="N106" s="326"/>
      <c r="O106" s="41"/>
      <c r="Q106" s="72"/>
    </row>
    <row r="107" spans="1:19" ht="15" customHeight="1">
      <c r="B107" s="318"/>
      <c r="E107" s="65"/>
      <c r="F107" s="41"/>
      <c r="G107" s="41"/>
      <c r="H107" s="41"/>
      <c r="I107" s="41"/>
      <c r="J107" s="41"/>
      <c r="K107" s="41"/>
      <c r="L107" s="41"/>
      <c r="M107" s="41"/>
      <c r="N107" s="326"/>
      <c r="O107" s="41"/>
      <c r="Q107" s="72"/>
    </row>
    <row r="108" spans="1:19" customFormat="1">
      <c r="A108">
        <v>12</v>
      </c>
      <c r="B108" s="7" t="s">
        <v>267</v>
      </c>
      <c r="C108" s="316"/>
    </row>
    <row r="109" spans="1:19" customFormat="1">
      <c r="B109" s="7" t="s">
        <v>268</v>
      </c>
      <c r="C109" s="316"/>
    </row>
    <row r="110" spans="1:19" customFormat="1">
      <c r="B110" s="7"/>
      <c r="C110" s="316"/>
      <c r="E110">
        <v>1</v>
      </c>
      <c r="F110" t="s">
        <v>2</v>
      </c>
      <c r="G110" s="912">
        <f>M89</f>
        <v>3672</v>
      </c>
      <c r="H110" s="913"/>
      <c r="J110" s="6" t="s">
        <v>2</v>
      </c>
      <c r="K110" s="304">
        <v>0.9</v>
      </c>
      <c r="L110" s="316" t="s">
        <v>21</v>
      </c>
      <c r="M110" s="13">
        <f>G110*90/100</f>
        <v>3304.8</v>
      </c>
      <c r="N110" s="6" t="s">
        <v>6</v>
      </c>
    </row>
    <row r="111" spans="1:19" s="43" customFormat="1" ht="24.75" customHeight="1">
      <c r="B111" s="927">
        <f>M110</f>
        <v>3304.8</v>
      </c>
      <c r="C111" s="927"/>
      <c r="D111" s="927"/>
      <c r="E111" s="927"/>
      <c r="F111" s="102" t="s">
        <v>6</v>
      </c>
      <c r="J111" s="218" t="s">
        <v>17</v>
      </c>
      <c r="K111" s="928">
        <v>2760</v>
      </c>
      <c r="L111" s="928"/>
      <c r="M111" s="102" t="s">
        <v>1</v>
      </c>
      <c r="N111" s="43" t="s">
        <v>16</v>
      </c>
      <c r="O111" s="44">
        <f>B111*K111/1000</f>
        <v>9121.2479999999996</v>
      </c>
    </row>
    <row r="112" spans="1:19" s="80" customFormat="1" ht="27.75" customHeight="1">
      <c r="A112" s="204"/>
      <c r="B112" s="80" t="s">
        <v>246</v>
      </c>
      <c r="C112" s="931">
        <f>M110</f>
        <v>3304.8</v>
      </c>
      <c r="D112" s="931"/>
      <c r="E112" s="931"/>
      <c r="F112" s="334" t="s">
        <v>182</v>
      </c>
      <c r="G112" s="334"/>
      <c r="H112" s="334"/>
      <c r="I112" s="567" t="s">
        <v>188</v>
      </c>
      <c r="J112" s="932">
        <v>2760</v>
      </c>
      <c r="K112" s="932"/>
      <c r="L112" s="334"/>
      <c r="M112" s="334" t="s">
        <v>269</v>
      </c>
      <c r="N112" s="253"/>
      <c r="P112" s="80" t="s">
        <v>5</v>
      </c>
      <c r="Q112" s="568">
        <f>C112*J112/1000</f>
        <v>9121.2479999999996</v>
      </c>
    </row>
    <row r="113" spans="1:23" ht="15" customHeight="1">
      <c r="B113" s="318"/>
      <c r="E113" s="41"/>
      <c r="F113" s="41"/>
      <c r="G113" s="41"/>
      <c r="H113" s="41"/>
      <c r="I113" s="41"/>
      <c r="J113" s="41"/>
      <c r="K113" s="41"/>
      <c r="L113" s="41"/>
      <c r="M113" s="41"/>
      <c r="N113" s="326"/>
      <c r="O113" s="41"/>
      <c r="P113" s="139"/>
      <c r="Q113" s="248"/>
    </row>
    <row r="114" spans="1:23" ht="15" customHeight="1">
      <c r="B114" s="69"/>
      <c r="C114" s="69"/>
      <c r="D114" s="69"/>
      <c r="E114" s="68"/>
      <c r="F114" s="41"/>
      <c r="G114" s="41"/>
      <c r="H114" s="41"/>
      <c r="I114" s="41"/>
      <c r="J114" s="41"/>
      <c r="K114" s="41"/>
      <c r="L114" s="41"/>
      <c r="M114" s="272"/>
      <c r="N114" s="326"/>
      <c r="O114" s="41"/>
      <c r="Q114" s="72"/>
      <c r="T114"/>
      <c r="U114"/>
      <c r="V114"/>
      <c r="W114"/>
    </row>
    <row r="115" spans="1:23" ht="15" customHeight="1">
      <c r="B115" s="69"/>
      <c r="C115" s="69"/>
      <c r="D115" s="69"/>
      <c r="E115" s="68"/>
      <c r="F115" s="41"/>
      <c r="G115" s="41"/>
      <c r="H115" s="41"/>
      <c r="I115" s="41"/>
      <c r="J115" s="41"/>
      <c r="K115" s="41"/>
      <c r="L115" s="41"/>
      <c r="M115" s="272"/>
      <c r="N115" s="326"/>
      <c r="O115" s="66" t="s">
        <v>4</v>
      </c>
      <c r="P115" s="73" t="s">
        <v>16</v>
      </c>
      <c r="Q115" s="72">
        <v>8867747</v>
      </c>
      <c r="T115"/>
      <c r="U115"/>
      <c r="V115"/>
      <c r="W115"/>
    </row>
    <row r="116" spans="1:23" ht="15" customHeight="1">
      <c r="E116" s="41"/>
      <c r="F116" s="41"/>
      <c r="G116" s="41"/>
      <c r="H116" s="41"/>
      <c r="I116" s="41"/>
      <c r="J116" s="41"/>
      <c r="K116" s="41"/>
      <c r="L116" s="41"/>
      <c r="M116" s="41"/>
      <c r="N116" s="326"/>
      <c r="O116" s="41"/>
      <c r="T116"/>
      <c r="U116"/>
      <c r="V116"/>
      <c r="W116"/>
    </row>
    <row r="117" spans="1:23" ht="15" customHeight="1">
      <c r="B117" s="11"/>
      <c r="E117" s="41"/>
      <c r="F117" s="41"/>
      <c r="G117" s="41" t="s">
        <v>240</v>
      </c>
      <c r="H117" s="41"/>
      <c r="I117" s="41"/>
      <c r="J117" s="41"/>
      <c r="K117" s="41"/>
      <c r="L117" s="41"/>
      <c r="M117" s="41"/>
      <c r="N117" s="326"/>
      <c r="O117" s="41"/>
      <c r="P117" s="7" t="s">
        <v>5</v>
      </c>
      <c r="Q117" s="72">
        <f>Q115*33.7/100</f>
        <v>2988430.7390000005</v>
      </c>
    </row>
    <row r="118" spans="1:23" ht="15" customHeight="1">
      <c r="E118" s="41"/>
      <c r="F118" s="41"/>
      <c r="G118" s="41"/>
      <c r="H118" s="41"/>
      <c r="I118" s="41"/>
      <c r="J118" s="41"/>
      <c r="K118" s="41"/>
      <c r="L118" s="41"/>
      <c r="M118" s="41"/>
      <c r="N118" s="326"/>
      <c r="O118" s="41"/>
      <c r="P118" s="139"/>
      <c r="Q118" s="139"/>
    </row>
    <row r="119" spans="1:23" customFormat="1" ht="7.5" customHeight="1">
      <c r="A119" s="316"/>
      <c r="B119" s="2"/>
      <c r="M119" s="323"/>
      <c r="N119" s="13"/>
      <c r="Q119" s="72"/>
    </row>
    <row r="120" spans="1:23" ht="15" customHeight="1">
      <c r="N120" s="63"/>
      <c r="O120" s="7" t="s">
        <v>136</v>
      </c>
      <c r="P120" s="7" t="s">
        <v>5</v>
      </c>
      <c r="Q120" s="72">
        <f>SUM(Q115:Q119)</f>
        <v>11856177.739</v>
      </c>
    </row>
    <row r="121" spans="1:23" ht="15" customHeight="1">
      <c r="N121" s="63"/>
    </row>
    <row r="122" spans="1:23" customFormat="1">
      <c r="A122" s="316"/>
      <c r="B122" s="2"/>
      <c r="M122" s="323"/>
      <c r="N122" s="13"/>
      <c r="Q122" s="72"/>
    </row>
    <row r="123" spans="1:23">
      <c r="A123" s="7"/>
      <c r="E123" s="319"/>
    </row>
    <row r="124" spans="1:23">
      <c r="A124" s="7"/>
      <c r="E124" s="319"/>
    </row>
    <row r="125" spans="1:23">
      <c r="A125" s="7"/>
      <c r="E125" s="319"/>
    </row>
    <row r="126" spans="1:23" ht="15" customHeight="1"/>
    <row r="127" spans="1:23" ht="15" customHeight="1"/>
    <row r="128" spans="1:23" customFormat="1">
      <c r="A128" s="316"/>
      <c r="B128" s="2"/>
      <c r="M128" s="323"/>
      <c r="N128" s="13"/>
      <c r="Q128" s="72"/>
    </row>
    <row r="129" spans="1:23" ht="15" customHeight="1"/>
    <row r="131" spans="1:23" customFormat="1">
      <c r="A131" s="316"/>
      <c r="B131" s="2"/>
      <c r="M131" s="323"/>
      <c r="N131" s="13"/>
      <c r="Q131" s="72"/>
    </row>
    <row r="133" spans="1:23">
      <c r="B133" s="41"/>
    </row>
    <row r="134" spans="1:23" customFormat="1" ht="16.5">
      <c r="A134" s="316"/>
      <c r="M134" s="323"/>
      <c r="N134" s="24"/>
      <c r="Q134" s="72"/>
      <c r="T134" s="6"/>
      <c r="U134" s="6"/>
      <c r="V134" s="6"/>
      <c r="W134" s="6"/>
    </row>
    <row r="135" spans="1:23">
      <c r="P135"/>
      <c r="Q135" s="72"/>
      <c r="T135" s="6"/>
      <c r="U135" s="6"/>
      <c r="V135" s="6"/>
      <c r="W135" s="6"/>
    </row>
    <row r="136" spans="1:23">
      <c r="T136" s="6"/>
      <c r="U136" s="6"/>
      <c r="V136" s="6"/>
      <c r="W136" s="6"/>
    </row>
    <row r="137" spans="1:23" s="6" customFormat="1" ht="15">
      <c r="A137" s="268"/>
      <c r="P137" s="15"/>
      <c r="Q137" s="28"/>
    </row>
    <row r="138" spans="1:23" s="6" customFormat="1" ht="12.75">
      <c r="A138" s="268"/>
      <c r="Q138" s="25"/>
    </row>
    <row r="139" spans="1:23" s="6" customFormat="1" ht="15">
      <c r="A139" s="268"/>
      <c r="P139" s="15"/>
      <c r="Q139" s="28"/>
    </row>
    <row r="140" spans="1:23" s="6" customFormat="1" ht="12.75">
      <c r="A140" s="268"/>
      <c r="P140" s="14"/>
      <c r="Q140" s="8"/>
    </row>
  </sheetData>
  <mergeCells count="40">
    <mergeCell ref="G110:H110"/>
    <mergeCell ref="B111:E111"/>
    <mergeCell ref="K111:L111"/>
    <mergeCell ref="C112:E112"/>
    <mergeCell ref="J112:K112"/>
    <mergeCell ref="C90:E90"/>
    <mergeCell ref="J90:K90"/>
    <mergeCell ref="C98:E98"/>
    <mergeCell ref="J98:K98"/>
    <mergeCell ref="C102:E102"/>
    <mergeCell ref="J102:K102"/>
    <mergeCell ref="C77:E77"/>
    <mergeCell ref="J77:K77"/>
    <mergeCell ref="B34:G34"/>
    <mergeCell ref="C40:E40"/>
    <mergeCell ref="J40:K40"/>
    <mergeCell ref="C48:E48"/>
    <mergeCell ref="J48:K48"/>
    <mergeCell ref="F67:G67"/>
    <mergeCell ref="C68:E68"/>
    <mergeCell ref="J68:K68"/>
    <mergeCell ref="G73:H73"/>
    <mergeCell ref="C74:E74"/>
    <mergeCell ref="J74:K74"/>
    <mergeCell ref="E30:G30"/>
    <mergeCell ref="I30:K30"/>
    <mergeCell ref="C32:E32"/>
    <mergeCell ref="J32:K32"/>
    <mergeCell ref="E20:G20"/>
    <mergeCell ref="I20:K20"/>
    <mergeCell ref="C22:E22"/>
    <mergeCell ref="J22:K22"/>
    <mergeCell ref="E28:G28"/>
    <mergeCell ref="I28:K28"/>
    <mergeCell ref="E17:G17"/>
    <mergeCell ref="I17:K17"/>
    <mergeCell ref="A1:Q2"/>
    <mergeCell ref="B3:I3"/>
    <mergeCell ref="E14:G14"/>
    <mergeCell ref="I14:K14"/>
  </mergeCells>
  <pageMargins left="0.77" right="0.23" top="0.34" bottom="0.27" header="0.25" footer="0.23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0000"/>
  </sheetPr>
  <dimension ref="A1:T72"/>
  <sheetViews>
    <sheetView topLeftCell="A64" workbookViewId="0">
      <selection activeCell="L80" sqref="L80"/>
    </sheetView>
  </sheetViews>
  <sheetFormatPr defaultRowHeight="15"/>
  <cols>
    <col min="1" max="1" width="3.140625" style="39" customWidth="1"/>
    <col min="2" max="2" width="15.5703125" style="39" customWidth="1"/>
    <col min="3" max="3" width="9.140625" style="39" customWidth="1"/>
    <col min="4" max="4" width="4.85546875" style="39" customWidth="1"/>
    <col min="5" max="5" width="2.85546875" style="39" customWidth="1"/>
    <col min="6" max="6" width="7.28515625" style="39" customWidth="1"/>
    <col min="7" max="7" width="2.85546875" style="39" customWidth="1"/>
    <col min="8" max="8" width="5.5703125" style="39" customWidth="1"/>
    <col min="9" max="9" width="2.85546875" style="39" customWidth="1"/>
    <col min="10" max="10" width="5" style="39" customWidth="1"/>
    <col min="11" max="11" width="2.85546875" style="39" customWidth="1"/>
    <col min="12" max="12" width="10.140625" style="39" customWidth="1"/>
    <col min="13" max="13" width="8.28515625" style="39" customWidth="1"/>
    <col min="14" max="14" width="3.42578125" style="39" customWidth="1"/>
    <col min="15" max="15" width="11.28515625" style="39" customWidth="1"/>
    <col min="16" max="16" width="1.28515625" style="39" customWidth="1"/>
    <col min="17" max="17" width="9.140625" style="39" customWidth="1"/>
    <col min="18" max="18" width="7.7109375" style="39" customWidth="1"/>
    <col min="19" max="19" width="10.7109375" style="39" hidden="1" customWidth="1"/>
    <col min="20" max="20" width="11" style="39" customWidth="1"/>
    <col min="21" max="16384" width="9.140625" style="39"/>
  </cols>
  <sheetData>
    <row r="1" spans="1:17" s="86" customFormat="1" ht="15" customHeight="1">
      <c r="A1" s="938" t="s">
        <v>620</v>
      </c>
      <c r="B1" s="938"/>
      <c r="C1" s="938"/>
      <c r="D1" s="938"/>
      <c r="E1" s="938"/>
      <c r="F1" s="938"/>
      <c r="G1" s="938"/>
      <c r="H1" s="938"/>
      <c r="I1" s="938"/>
      <c r="J1" s="938"/>
      <c r="K1" s="938"/>
      <c r="L1" s="938"/>
      <c r="M1" s="938"/>
      <c r="N1" s="938"/>
      <c r="O1" s="938"/>
    </row>
    <row r="2" spans="1:17" customFormat="1" ht="20.25" customHeight="1">
      <c r="A2" s="23">
        <v>1</v>
      </c>
      <c r="B2" s="25" t="s">
        <v>36</v>
      </c>
    </row>
    <row r="3" spans="1:17" customFormat="1" ht="20.25" customHeight="1">
      <c r="B3" s="6" t="s">
        <v>621</v>
      </c>
      <c r="D3">
        <v>1</v>
      </c>
      <c r="E3" t="s">
        <v>2</v>
      </c>
      <c r="F3" s="10">
        <v>100</v>
      </c>
      <c r="G3" t="s">
        <v>2</v>
      </c>
      <c r="H3" s="132">
        <v>3</v>
      </c>
      <c r="I3" t="s">
        <v>2</v>
      </c>
      <c r="J3" s="13">
        <v>1.5</v>
      </c>
      <c r="K3" s="141" t="s">
        <v>3</v>
      </c>
      <c r="L3" s="141"/>
      <c r="M3" s="136">
        <f>J3*H3*F3*D3</f>
        <v>450</v>
      </c>
      <c r="N3" t="s">
        <v>18</v>
      </c>
    </row>
    <row r="4" spans="1:17" customFormat="1" ht="20.25" customHeight="1">
      <c r="F4" s="10"/>
      <c r="H4" s="13"/>
      <c r="J4" s="13"/>
      <c r="K4" s="141"/>
      <c r="L4" s="141"/>
      <c r="M4" s="452">
        <f>SUM(M3:M3)</f>
        <v>450</v>
      </c>
    </row>
    <row r="5" spans="1:17" customFormat="1" ht="12.75">
      <c r="B5" s="935">
        <f>M4</f>
        <v>450</v>
      </c>
      <c r="C5" s="935"/>
      <c r="D5" s="935"/>
      <c r="E5" s="935"/>
      <c r="F5" s="6" t="s">
        <v>167</v>
      </c>
      <c r="G5" s="6"/>
      <c r="H5" s="6"/>
      <c r="I5" s="6" t="s">
        <v>15</v>
      </c>
      <c r="J5" s="6"/>
      <c r="K5" s="37" t="s">
        <v>19</v>
      </c>
      <c r="L5" s="27">
        <v>605</v>
      </c>
      <c r="M5" s="6" t="s">
        <v>12</v>
      </c>
      <c r="N5" s="6" t="s">
        <v>16</v>
      </c>
      <c r="O5" s="28">
        <f>B5*L5/100</f>
        <v>2722.5</v>
      </c>
    </row>
    <row r="6" spans="1:17" customFormat="1" ht="6" customHeight="1">
      <c r="B6" s="26"/>
      <c r="C6" s="26"/>
      <c r="D6" s="26"/>
      <c r="E6" s="26"/>
      <c r="K6" s="29"/>
      <c r="L6" s="2"/>
      <c r="O6" s="5"/>
    </row>
    <row r="7" spans="1:17" customFormat="1" ht="12.75">
      <c r="A7" s="23">
        <v>2</v>
      </c>
      <c r="B7" s="26" t="s">
        <v>37</v>
      </c>
      <c r="C7" s="26"/>
      <c r="D7" s="26"/>
      <c r="E7" s="26"/>
      <c r="K7" s="29"/>
      <c r="L7" s="2"/>
      <c r="O7" s="5"/>
    </row>
    <row r="8" spans="1:17" customFormat="1" ht="12.75">
      <c r="A8" s="23"/>
      <c r="B8" s="26" t="s">
        <v>20</v>
      </c>
      <c r="C8" s="26"/>
      <c r="D8" s="26"/>
      <c r="E8" s="26"/>
      <c r="K8" s="29"/>
      <c r="L8" s="2"/>
      <c r="O8" s="5"/>
    </row>
    <row r="9" spans="1:17" customFormat="1" ht="22.5" customHeight="1">
      <c r="A9" s="23"/>
      <c r="B9" s="26"/>
      <c r="C9" s="26"/>
      <c r="D9" s="30">
        <v>100</v>
      </c>
      <c r="E9" s="30" t="s">
        <v>2</v>
      </c>
      <c r="F9" s="147">
        <v>8</v>
      </c>
      <c r="G9" t="s">
        <v>2</v>
      </c>
      <c r="H9" s="13">
        <v>2.5</v>
      </c>
      <c r="I9" t="s">
        <v>2</v>
      </c>
      <c r="J9" s="13">
        <v>0.75</v>
      </c>
      <c r="K9" s="1" t="s">
        <v>21</v>
      </c>
      <c r="L9" s="1"/>
      <c r="M9" s="136">
        <f>D9*F9*H9*J9</f>
        <v>1500</v>
      </c>
      <c r="N9" s="2" t="s">
        <v>18</v>
      </c>
      <c r="Q9" s="5"/>
    </row>
    <row r="10" spans="1:17" customFormat="1" ht="15" customHeight="1">
      <c r="A10" s="23"/>
      <c r="B10" s="26"/>
      <c r="C10" s="26"/>
      <c r="D10" s="30"/>
      <c r="E10" s="30"/>
      <c r="F10" s="28"/>
      <c r="H10" s="132"/>
      <c r="J10" s="5"/>
      <c r="K10" s="141"/>
      <c r="L10" s="141"/>
      <c r="M10" s="452">
        <f>SUM(M9:M9)</f>
        <v>1500</v>
      </c>
      <c r="N10" s="2"/>
      <c r="Q10" s="5"/>
    </row>
    <row r="11" spans="1:17" customFormat="1" ht="15.75" customHeight="1">
      <c r="A11" s="23"/>
      <c r="B11" s="935">
        <f>M10</f>
        <v>1500</v>
      </c>
      <c r="C11" s="935"/>
      <c r="D11" s="935"/>
      <c r="E11" s="935"/>
      <c r="F11" s="2" t="str">
        <f>N9</f>
        <v>Cft.</v>
      </c>
      <c r="K11" s="29" t="str">
        <f>K5</f>
        <v xml:space="preserve"> @ Rs:</v>
      </c>
      <c r="L11" s="13">
        <v>1285.6300000000001</v>
      </c>
      <c r="M11" t="str">
        <f>M5</f>
        <v>P%Cft</v>
      </c>
      <c r="N11" t="s">
        <v>16</v>
      </c>
      <c r="O11" s="28">
        <f>B11*L11/100</f>
        <v>19284.45</v>
      </c>
    </row>
    <row r="12" spans="1:17" customFormat="1" ht="10.5" customHeight="1">
      <c r="A12" s="23"/>
      <c r="B12" s="26"/>
      <c r="C12" s="26"/>
      <c r="D12" s="26"/>
      <c r="E12" s="26" t="s">
        <v>15</v>
      </c>
      <c r="K12" s="29"/>
      <c r="L12" s="2"/>
      <c r="O12" s="5"/>
    </row>
    <row r="13" spans="1:17" customFormat="1" ht="12.75">
      <c r="A13" s="23">
        <v>3</v>
      </c>
      <c r="B13" s="26" t="s">
        <v>38</v>
      </c>
      <c r="C13" s="26"/>
      <c r="D13" s="26"/>
      <c r="E13" s="26"/>
      <c r="K13" s="29"/>
      <c r="L13" s="2"/>
      <c r="O13" s="5"/>
    </row>
    <row r="14" spans="1:17" customFormat="1" ht="12.75">
      <c r="A14" s="23"/>
      <c r="B14" s="26" t="s">
        <v>22</v>
      </c>
      <c r="C14" s="26"/>
      <c r="D14" s="40">
        <v>100</v>
      </c>
      <c r="E14" s="30" t="s">
        <v>2</v>
      </c>
      <c r="F14" s="147">
        <v>5</v>
      </c>
      <c r="G14" t="s">
        <v>2</v>
      </c>
      <c r="H14" s="13">
        <v>2.5</v>
      </c>
      <c r="I14" t="s">
        <v>2</v>
      </c>
      <c r="J14" s="13">
        <v>0.5</v>
      </c>
      <c r="K14" s="1" t="str">
        <f>K9</f>
        <v>=</v>
      </c>
      <c r="L14" s="1"/>
      <c r="M14" s="136">
        <f>D14*F14*H14*J14</f>
        <v>625</v>
      </c>
      <c r="N14" s="2" t="s">
        <v>18</v>
      </c>
      <c r="Q14" s="5"/>
    </row>
    <row r="15" spans="1:17" customFormat="1" ht="12.75">
      <c r="A15" s="23"/>
      <c r="B15" s="26"/>
      <c r="C15" s="26"/>
      <c r="D15" s="40"/>
      <c r="E15" s="30"/>
      <c r="F15" s="28"/>
      <c r="H15" s="5"/>
      <c r="J15" s="13"/>
      <c r="K15" s="141"/>
      <c r="L15" s="141"/>
      <c r="M15" s="452">
        <f>SUM(M14:M14)</f>
        <v>625</v>
      </c>
      <c r="N15" s="2"/>
      <c r="Q15" s="5"/>
    </row>
    <row r="16" spans="1:17" customFormat="1" ht="12.75">
      <c r="A16" s="23"/>
      <c r="B16" s="935">
        <f>M15</f>
        <v>625</v>
      </c>
      <c r="C16" s="935"/>
      <c r="D16" s="935"/>
      <c r="E16" s="935"/>
      <c r="F16" s="2" t="str">
        <f>N14</f>
        <v>Cft.</v>
      </c>
      <c r="K16" s="29" t="str">
        <f>K11</f>
        <v xml:space="preserve"> @ Rs:</v>
      </c>
      <c r="L16" s="13">
        <v>3327.5</v>
      </c>
      <c r="M16" t="str">
        <f>M11</f>
        <v>P%Cft</v>
      </c>
      <c r="N16" t="str">
        <f>N11</f>
        <v>Rs:</v>
      </c>
      <c r="O16" s="28">
        <f>B16*L16/100</f>
        <v>20796.875</v>
      </c>
    </row>
    <row r="17" spans="1:17" customFormat="1" ht="12.75">
      <c r="A17" s="23"/>
      <c r="B17" s="26"/>
      <c r="C17" s="26"/>
      <c r="D17" s="26"/>
      <c r="E17" s="26"/>
      <c r="K17" s="29"/>
      <c r="L17" s="2"/>
      <c r="O17" s="5"/>
    </row>
    <row r="18" spans="1:17" customFormat="1" ht="12.75">
      <c r="A18" s="23">
        <v>4</v>
      </c>
      <c r="B18" s="26" t="s">
        <v>23</v>
      </c>
      <c r="C18" s="26"/>
      <c r="D18" s="26"/>
      <c r="E18" s="26"/>
      <c r="K18" s="29"/>
      <c r="L18" s="2"/>
      <c r="O18" s="5"/>
    </row>
    <row r="19" spans="1:17" customFormat="1" ht="12.75">
      <c r="A19" s="23"/>
      <c r="B19" s="26" t="s">
        <v>24</v>
      </c>
      <c r="C19" s="26"/>
      <c r="D19" s="26"/>
      <c r="E19" s="26"/>
      <c r="K19" s="29"/>
      <c r="L19" s="2"/>
      <c r="O19" s="5"/>
    </row>
    <row r="20" spans="1:17" customFormat="1" ht="12.75">
      <c r="A20" s="23"/>
      <c r="B20" s="26" t="s">
        <v>25</v>
      </c>
      <c r="C20" s="26"/>
      <c r="D20" s="30">
        <v>30</v>
      </c>
      <c r="E20" s="30" t="s">
        <v>2</v>
      </c>
      <c r="F20" s="217">
        <v>3</v>
      </c>
      <c r="G20" t="s">
        <v>2</v>
      </c>
      <c r="H20" s="13">
        <v>2.5</v>
      </c>
      <c r="I20" t="s">
        <v>2</v>
      </c>
      <c r="J20" s="13">
        <v>0.5</v>
      </c>
      <c r="K20" s="1" t="s">
        <v>21</v>
      </c>
      <c r="L20" s="1"/>
      <c r="M20" s="29">
        <f>D20*F20*H20*J20</f>
        <v>112.5</v>
      </c>
      <c r="N20" s="2" t="s">
        <v>18</v>
      </c>
      <c r="Q20" s="5"/>
    </row>
    <row r="21" spans="1:17" customFormat="1" ht="12.75">
      <c r="A21" s="23"/>
      <c r="B21" s="26"/>
      <c r="C21" s="26"/>
      <c r="D21" s="30"/>
      <c r="E21" s="30"/>
      <c r="F21" s="28"/>
      <c r="H21" s="5"/>
      <c r="J21" s="13"/>
      <c r="K21" s="141"/>
      <c r="L21" s="141"/>
      <c r="M21" s="51">
        <f>SUM(M20:M20)</f>
        <v>112.5</v>
      </c>
      <c r="N21" s="2"/>
      <c r="Q21" s="5"/>
    </row>
    <row r="22" spans="1:17" customFormat="1" ht="12.75">
      <c r="A22" s="23"/>
      <c r="B22" s="935">
        <f>M21</f>
        <v>112.5</v>
      </c>
      <c r="C22" s="935"/>
      <c r="D22" s="935"/>
      <c r="E22" s="935"/>
      <c r="F22" s="2" t="str">
        <f>N20</f>
        <v>Cft.</v>
      </c>
      <c r="K22" s="29" t="str">
        <f>K16</f>
        <v xml:space="preserve"> @ Rs:</v>
      </c>
      <c r="L22" s="13">
        <v>5445</v>
      </c>
      <c r="M22" t="str">
        <f>M16</f>
        <v>P%Cft</v>
      </c>
      <c r="N22" t="str">
        <f>N16</f>
        <v>Rs:</v>
      </c>
      <c r="O22" s="28">
        <f>B22*L22/100</f>
        <v>6125.625</v>
      </c>
    </row>
    <row r="23" spans="1:17" customFormat="1" ht="12.75">
      <c r="A23" s="23"/>
      <c r="B23" s="26"/>
      <c r="C23" s="26"/>
      <c r="D23" s="26"/>
      <c r="E23" s="26"/>
      <c r="K23" s="29"/>
      <c r="L23" s="2"/>
      <c r="O23" s="5"/>
    </row>
    <row r="24" spans="1:17" customFormat="1" ht="12.75">
      <c r="A24" s="23">
        <v>5</v>
      </c>
      <c r="B24" s="26" t="s">
        <v>26</v>
      </c>
      <c r="C24" s="26"/>
      <c r="D24" s="26"/>
      <c r="E24" s="26"/>
      <c r="K24" s="29"/>
      <c r="L24" s="2"/>
      <c r="O24" s="10"/>
    </row>
    <row r="25" spans="1:17" customFormat="1" ht="12.75">
      <c r="A25" s="23"/>
      <c r="B25" s="26" t="s">
        <v>28</v>
      </c>
      <c r="C25" s="26"/>
      <c r="D25" s="26"/>
      <c r="E25" s="26"/>
      <c r="K25" s="29"/>
      <c r="L25" s="2"/>
      <c r="O25" s="10"/>
    </row>
    <row r="26" spans="1:17" customFormat="1" ht="15.75" customHeight="1">
      <c r="A26" s="23"/>
      <c r="B26" s="26" t="s">
        <v>29</v>
      </c>
      <c r="C26" s="26"/>
      <c r="D26" s="934">
        <v>1100</v>
      </c>
      <c r="E26" s="934"/>
      <c r="F26" t="s">
        <v>30</v>
      </c>
      <c r="H26">
        <v>100</v>
      </c>
      <c r="I26" t="s">
        <v>21</v>
      </c>
      <c r="M26" s="13">
        <f>D26-H26</f>
        <v>1000</v>
      </c>
      <c r="N26" s="2" t="s">
        <v>18</v>
      </c>
      <c r="Q26" s="10"/>
    </row>
    <row r="27" spans="1:17" customFormat="1" ht="19.5" customHeight="1">
      <c r="A27" s="23"/>
      <c r="B27" s="26"/>
      <c r="C27" s="26"/>
      <c r="D27" s="934">
        <f>M26</f>
        <v>1000</v>
      </c>
      <c r="E27" s="934"/>
      <c r="F27" t="s">
        <v>31</v>
      </c>
      <c r="H27">
        <v>50</v>
      </c>
      <c r="I27" t="s">
        <v>21</v>
      </c>
      <c r="M27" s="13">
        <f>D27/H27</f>
        <v>20</v>
      </c>
      <c r="N27" s="2"/>
      <c r="Q27" s="10"/>
    </row>
    <row r="28" spans="1:17" customFormat="1" ht="17.25" customHeight="1">
      <c r="A28" s="23"/>
      <c r="B28" s="26" t="s">
        <v>0</v>
      </c>
      <c r="C28" s="26"/>
      <c r="D28" s="147">
        <f>M27</f>
        <v>20</v>
      </c>
      <c r="E28" s="84" t="s">
        <v>2</v>
      </c>
      <c r="H28" s="912">
        <v>100.78</v>
      </c>
      <c r="I28" s="912"/>
      <c r="M28" s="13">
        <f>D28*H28</f>
        <v>2015.6</v>
      </c>
      <c r="N28" s="2"/>
      <c r="Q28" s="10"/>
    </row>
    <row r="29" spans="1:17" customFormat="1" ht="17.25" customHeight="1">
      <c r="A29" s="23"/>
      <c r="B29" s="26" t="s">
        <v>32</v>
      </c>
      <c r="C29" s="26"/>
      <c r="D29" s="84"/>
      <c r="E29" s="84"/>
      <c r="F29" s="912">
        <f>B22+B16+B11+B5</f>
        <v>2687.5</v>
      </c>
      <c r="G29" s="913"/>
      <c r="H29" s="913"/>
      <c r="L29" s="13"/>
      <c r="M29" s="2"/>
      <c r="P29" s="10"/>
    </row>
    <row r="30" spans="1:17" customFormat="1" ht="17.25" customHeight="1">
      <c r="A30" s="23"/>
      <c r="B30" s="935">
        <f>F29</f>
        <v>2687.5</v>
      </c>
      <c r="C30" s="935"/>
      <c r="D30" s="935"/>
      <c r="E30" s="935"/>
      <c r="F30" s="2" t="s">
        <v>18</v>
      </c>
      <c r="K30" s="29" t="str">
        <f>K22</f>
        <v xml:space="preserve"> @ Rs:</v>
      </c>
      <c r="L30" s="13">
        <f>M28</f>
        <v>2015.6</v>
      </c>
      <c r="M30" s="6" t="s">
        <v>1</v>
      </c>
      <c r="N30" t="s">
        <v>16</v>
      </c>
      <c r="O30" s="28">
        <f>B30*L30/1000</f>
        <v>5416.9250000000002</v>
      </c>
    </row>
    <row r="31" spans="1:17" customFormat="1" ht="12.75">
      <c r="A31" s="23"/>
      <c r="B31" s="26"/>
      <c r="C31" s="26"/>
      <c r="D31" s="26"/>
      <c r="E31" s="26"/>
      <c r="K31" s="29"/>
      <c r="L31" s="2"/>
      <c r="O31" s="5"/>
    </row>
    <row r="32" spans="1:17" s="86" customFormat="1" ht="15" customHeight="1">
      <c r="A32" s="93">
        <v>6</v>
      </c>
      <c r="B32" s="87" t="s">
        <v>137</v>
      </c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</row>
    <row r="33" spans="1:15" s="86" customFormat="1" ht="15" customHeight="1">
      <c r="A33" s="93"/>
      <c r="B33" s="97" t="s">
        <v>138</v>
      </c>
      <c r="C33" s="87"/>
      <c r="D33" s="87"/>
      <c r="E33" s="87"/>
      <c r="F33" s="87"/>
      <c r="G33" s="87"/>
      <c r="H33" s="87"/>
      <c r="I33" s="87"/>
      <c r="J33" s="87"/>
      <c r="K33" s="87"/>
      <c r="L33" s="87"/>
      <c r="M33" s="87"/>
    </row>
    <row r="34" spans="1:15" s="86" customFormat="1" ht="15" customHeight="1">
      <c r="A34" s="93"/>
      <c r="B34" s="87" t="s">
        <v>139</v>
      </c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</row>
    <row r="35" spans="1:15" s="86" customFormat="1" ht="15" customHeight="1">
      <c r="A35" s="93"/>
      <c r="B35" s="87" t="s">
        <v>140</v>
      </c>
      <c r="C35" s="87"/>
      <c r="D35" s="87"/>
      <c r="E35" s="87"/>
      <c r="F35" s="87"/>
      <c r="G35" s="87"/>
      <c r="H35" s="87"/>
      <c r="I35" s="87"/>
      <c r="J35" s="87"/>
      <c r="K35" s="87"/>
      <c r="L35" s="87"/>
      <c r="M35" s="87"/>
    </row>
    <row r="36" spans="1:15" s="86" customFormat="1" ht="15" customHeight="1">
      <c r="A36" s="93"/>
      <c r="B36" s="87" t="s">
        <v>141</v>
      </c>
      <c r="C36" s="87"/>
      <c r="D36" s="87"/>
      <c r="E36" s="87"/>
      <c r="F36" s="87"/>
      <c r="G36" s="87"/>
      <c r="H36" s="87"/>
      <c r="I36" s="87"/>
      <c r="J36" s="87"/>
      <c r="K36" s="87"/>
      <c r="L36" s="87"/>
      <c r="M36" s="87"/>
    </row>
    <row r="37" spans="1:15" s="86" customFormat="1" ht="18.75" customHeight="1">
      <c r="B37" s="87" t="s">
        <v>157</v>
      </c>
      <c r="C37" s="87"/>
      <c r="D37" s="146">
        <v>1</v>
      </c>
      <c r="E37" s="87" t="s">
        <v>2</v>
      </c>
      <c r="F37" s="697">
        <v>3400</v>
      </c>
      <c r="G37" s="87" t="s">
        <v>2</v>
      </c>
      <c r="H37" s="90">
        <v>3.5</v>
      </c>
      <c r="I37" s="87" t="s">
        <v>2</v>
      </c>
      <c r="J37" s="98">
        <v>5</v>
      </c>
      <c r="K37" s="87" t="s">
        <v>3</v>
      </c>
      <c r="L37" s="89">
        <f>J37*H37*F37*D37</f>
        <v>59500</v>
      </c>
      <c r="M37" s="87" t="s">
        <v>6</v>
      </c>
    </row>
    <row r="38" spans="1:15" s="86" customFormat="1" ht="18.75" customHeight="1">
      <c r="B38" s="87"/>
      <c r="C38" s="87"/>
      <c r="D38" s="87"/>
      <c r="E38" s="87"/>
      <c r="F38" s="87"/>
      <c r="G38" s="87"/>
      <c r="H38" s="87"/>
      <c r="I38" s="87"/>
      <c r="J38" s="87"/>
      <c r="K38" s="243" t="s">
        <v>21</v>
      </c>
      <c r="L38" s="381">
        <f>SUM(L37:L37)</f>
        <v>59500</v>
      </c>
      <c r="M38" s="87" t="s">
        <v>6</v>
      </c>
    </row>
    <row r="39" spans="1:15" s="86" customFormat="1" ht="15" customHeight="1">
      <c r="B39" s="936">
        <f>L38</f>
        <v>59500</v>
      </c>
      <c r="C39" s="936"/>
      <c r="D39" s="87" t="s">
        <v>6</v>
      </c>
      <c r="E39" s="87"/>
      <c r="F39" s="87"/>
      <c r="G39" s="87"/>
      <c r="H39" s="87"/>
      <c r="I39" s="87"/>
      <c r="J39" s="87"/>
      <c r="K39" s="89" t="s">
        <v>11</v>
      </c>
      <c r="L39" s="98">
        <v>3600</v>
      </c>
      <c r="M39" s="87" t="s">
        <v>1</v>
      </c>
      <c r="N39" s="89" t="s">
        <v>5</v>
      </c>
      <c r="O39" s="95">
        <f>L39*B39/1000</f>
        <v>214200</v>
      </c>
    </row>
    <row r="40" spans="1:15" s="86" customFormat="1" ht="15" customHeight="1">
      <c r="B40" s="239"/>
      <c r="C40" s="239"/>
      <c r="D40" s="87"/>
      <c r="E40" s="87"/>
      <c r="F40" s="87"/>
      <c r="G40" s="87"/>
      <c r="H40" s="87"/>
      <c r="I40" s="87"/>
      <c r="J40" s="87"/>
      <c r="K40" s="89"/>
      <c r="L40" s="98"/>
      <c r="M40" s="87"/>
      <c r="N40" s="89"/>
      <c r="O40" s="95"/>
    </row>
    <row r="41" spans="1:15" s="86" customFormat="1" ht="15" customHeight="1">
      <c r="A41" s="86">
        <v>7</v>
      </c>
      <c r="B41" s="87" t="s">
        <v>153</v>
      </c>
      <c r="C41" s="87"/>
      <c r="D41" s="87"/>
      <c r="E41" s="87"/>
      <c r="F41" s="87"/>
      <c r="G41" s="87"/>
      <c r="H41" s="87"/>
      <c r="I41" s="87"/>
      <c r="J41" s="87"/>
      <c r="K41" s="87"/>
      <c r="L41" s="87"/>
      <c r="M41" s="87"/>
      <c r="O41" s="96"/>
    </row>
    <row r="42" spans="1:15" s="86" customFormat="1" ht="15" customHeight="1">
      <c r="B42" s="87" t="s">
        <v>154</v>
      </c>
      <c r="C42" s="87"/>
      <c r="D42" s="87"/>
      <c r="E42" s="87"/>
      <c r="F42" s="87"/>
      <c r="G42" s="87"/>
      <c r="H42" s="87"/>
      <c r="I42" s="87"/>
      <c r="J42" s="87"/>
      <c r="K42" s="87"/>
      <c r="L42" s="87"/>
      <c r="M42" s="87"/>
      <c r="O42" s="96"/>
    </row>
    <row r="43" spans="1:15" s="86" customFormat="1" ht="15" customHeight="1">
      <c r="B43" s="87" t="s">
        <v>155</v>
      </c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O43" s="96"/>
    </row>
    <row r="44" spans="1:15" s="86" customFormat="1" ht="15" customHeight="1">
      <c r="B44" s="87" t="s">
        <v>156</v>
      </c>
      <c r="C44" s="87"/>
      <c r="D44" s="87"/>
      <c r="E44" s="87"/>
      <c r="F44" s="87"/>
      <c r="G44" s="87"/>
      <c r="H44" s="87"/>
      <c r="I44" s="87"/>
      <c r="J44" s="87"/>
      <c r="K44" s="87"/>
      <c r="L44" s="87"/>
      <c r="M44" s="87"/>
      <c r="O44" s="96"/>
    </row>
    <row r="45" spans="1:15" s="86" customFormat="1" ht="24" customHeight="1">
      <c r="B45" s="87" t="str">
        <f>B37</f>
        <v>16" dia (450mm)</v>
      </c>
      <c r="C45" s="148">
        <f>F37</f>
        <v>3400</v>
      </c>
      <c r="D45" s="87" t="s">
        <v>10</v>
      </c>
      <c r="E45" s="87"/>
      <c r="F45" s="87"/>
      <c r="G45" s="87"/>
      <c r="H45" s="87"/>
      <c r="I45" s="87"/>
      <c r="J45" s="87"/>
      <c r="K45" s="89" t="s">
        <v>11</v>
      </c>
      <c r="L45" s="98">
        <v>3299</v>
      </c>
      <c r="M45" s="87" t="s">
        <v>14</v>
      </c>
      <c r="N45" s="89" t="s">
        <v>16</v>
      </c>
      <c r="O45" s="95">
        <f>L45*C45</f>
        <v>11216600</v>
      </c>
    </row>
    <row r="46" spans="1:15" s="86" customFormat="1" ht="12.75" customHeight="1">
      <c r="B46" s="87"/>
      <c r="C46" s="88"/>
      <c r="D46" s="87"/>
      <c r="E46" s="87"/>
      <c r="F46" s="87"/>
      <c r="G46" s="87"/>
      <c r="H46" s="87"/>
      <c r="I46" s="87"/>
      <c r="J46" s="87"/>
      <c r="K46" s="89"/>
      <c r="L46" s="98"/>
      <c r="M46" s="87"/>
      <c r="N46" s="89"/>
      <c r="O46" s="95"/>
    </row>
    <row r="47" spans="1:15" s="86" customFormat="1" ht="15" customHeight="1">
      <c r="A47" s="86">
        <v>8</v>
      </c>
      <c r="B47" s="87" t="s">
        <v>158</v>
      </c>
      <c r="C47" s="88"/>
      <c r="D47" s="87"/>
      <c r="E47" s="87"/>
      <c r="F47" s="87"/>
      <c r="G47" s="87"/>
      <c r="H47" s="87"/>
      <c r="I47" s="87"/>
      <c r="J47" s="87"/>
      <c r="K47" s="89"/>
      <c r="L47" s="87"/>
      <c r="M47" s="87"/>
      <c r="N47" s="89"/>
      <c r="O47" s="95"/>
    </row>
    <row r="48" spans="1:15" s="86" customFormat="1" ht="24.75" customHeight="1">
      <c r="B48" s="87" t="s">
        <v>159</v>
      </c>
      <c r="C48" s="88"/>
      <c r="D48" s="87"/>
      <c r="E48" s="87"/>
      <c r="F48" s="87"/>
      <c r="G48" s="87"/>
      <c r="H48" s="87"/>
      <c r="I48" s="87"/>
      <c r="J48" s="87"/>
      <c r="K48" s="89"/>
      <c r="L48" s="87"/>
      <c r="M48" s="87"/>
      <c r="N48" s="89"/>
      <c r="O48" s="95"/>
    </row>
    <row r="49" spans="1:20" s="86" customFormat="1" ht="21" customHeight="1">
      <c r="B49" s="87" t="str">
        <f>B45</f>
        <v>16" dia (450mm)</v>
      </c>
      <c r="C49" s="216">
        <v>2</v>
      </c>
      <c r="D49" s="87" t="s">
        <v>40</v>
      </c>
      <c r="E49" s="87"/>
      <c r="F49" s="87"/>
      <c r="G49" s="87"/>
      <c r="H49" s="87"/>
      <c r="I49" s="87"/>
      <c r="J49" s="87"/>
      <c r="K49" s="89" t="str">
        <f>K45</f>
        <v xml:space="preserve"> @Rs</v>
      </c>
      <c r="L49" s="98">
        <v>21887</v>
      </c>
      <c r="M49" s="87" t="s">
        <v>142</v>
      </c>
      <c r="N49" s="89" t="str">
        <f>N45</f>
        <v>Rs:</v>
      </c>
      <c r="O49" s="95">
        <f>L49*C49</f>
        <v>43774</v>
      </c>
      <c r="S49" s="100" t="e">
        <f>O49+#REF!+#REF!+#REF!+#REF!</f>
        <v>#REF!</v>
      </c>
    </row>
    <row r="50" spans="1:20" s="86" customFormat="1" ht="18.75" customHeight="1">
      <c r="A50" s="86">
        <v>9</v>
      </c>
      <c r="B50" s="87" t="s">
        <v>160</v>
      </c>
      <c r="C50" s="88"/>
      <c r="D50" s="87"/>
      <c r="E50" s="87"/>
      <c r="F50" s="87"/>
      <c r="G50" s="87"/>
      <c r="H50" s="87"/>
      <c r="I50" s="87"/>
      <c r="J50" s="87"/>
      <c r="K50" s="89"/>
      <c r="L50" s="87"/>
      <c r="M50" s="87"/>
      <c r="N50" s="89"/>
      <c r="O50" s="95"/>
    </row>
    <row r="51" spans="1:20" s="86" customFormat="1" ht="18.75" customHeight="1">
      <c r="B51" s="87" t="str">
        <f>B49</f>
        <v>16" dia (450mm)</v>
      </c>
      <c r="C51" s="216">
        <v>2</v>
      </c>
      <c r="D51" s="87" t="s">
        <v>40</v>
      </c>
      <c r="E51" s="87"/>
      <c r="F51" s="87"/>
      <c r="G51" s="87"/>
      <c r="H51" s="87"/>
      <c r="I51" s="87"/>
      <c r="J51" s="87"/>
      <c r="K51" s="89" t="s">
        <v>17</v>
      </c>
      <c r="L51" s="98">
        <v>27359</v>
      </c>
      <c r="M51" s="87" t="s">
        <v>142</v>
      </c>
      <c r="N51" s="89" t="s">
        <v>16</v>
      </c>
      <c r="O51" s="95">
        <f>L51*C51</f>
        <v>54718</v>
      </c>
      <c r="S51" s="100" t="e">
        <f>O51+#REF!+#REF!+#REF!+#REF!</f>
        <v>#REF!</v>
      </c>
    </row>
    <row r="52" spans="1:20" s="86" customFormat="1" ht="14.25" customHeight="1">
      <c r="B52" s="87"/>
      <c r="C52" s="88"/>
      <c r="D52" s="87"/>
      <c r="E52" s="87"/>
      <c r="F52" s="87"/>
      <c r="G52" s="87"/>
      <c r="H52" s="87"/>
      <c r="I52" s="87"/>
      <c r="J52" s="87"/>
      <c r="K52" s="89"/>
      <c r="L52" s="90"/>
      <c r="M52" s="87"/>
      <c r="N52" s="89"/>
      <c r="O52" s="95"/>
      <c r="S52" s="100" t="e">
        <f>SUM(S49:S51)</f>
        <v>#REF!</v>
      </c>
    </row>
    <row r="53" spans="1:20" s="86" customFormat="1" ht="15" customHeight="1">
      <c r="A53" s="86">
        <v>10</v>
      </c>
      <c r="B53" s="87" t="s">
        <v>161</v>
      </c>
      <c r="C53" s="88"/>
      <c r="D53" s="87"/>
      <c r="E53" s="87"/>
      <c r="F53" s="87"/>
      <c r="G53" s="87"/>
      <c r="H53" s="87"/>
      <c r="I53" s="87"/>
      <c r="J53" s="87"/>
      <c r="K53" s="89"/>
      <c r="L53" s="90"/>
      <c r="M53" s="87"/>
      <c r="N53" s="89"/>
      <c r="O53" s="95"/>
    </row>
    <row r="54" spans="1:20" s="86" customFormat="1" ht="20.25" customHeight="1">
      <c r="A54" s="101"/>
      <c r="B54" s="101" t="str">
        <f>B51</f>
        <v>16" dia (450mm)</v>
      </c>
      <c r="C54" s="219">
        <f>C51+C49</f>
        <v>4</v>
      </c>
      <c r="D54" s="87" t="s">
        <v>10</v>
      </c>
      <c r="E54" s="87"/>
      <c r="F54" s="87"/>
      <c r="G54" s="87"/>
      <c r="H54" s="87"/>
      <c r="I54" s="87"/>
      <c r="J54" s="87"/>
      <c r="K54" s="89" t="s">
        <v>11</v>
      </c>
      <c r="L54" s="98">
        <v>2800</v>
      </c>
      <c r="M54" s="87" t="s">
        <v>70</v>
      </c>
      <c r="N54" s="89" t="s">
        <v>16</v>
      </c>
      <c r="O54" s="95">
        <f t="shared" ref="O54" si="0">C54*L54</f>
        <v>11200</v>
      </c>
      <c r="S54" s="100"/>
    </row>
    <row r="55" spans="1:20" s="86" customFormat="1" ht="14.25" customHeight="1">
      <c r="A55" s="101"/>
      <c r="B55" s="101" t="s">
        <v>233</v>
      </c>
      <c r="C55" s="219"/>
      <c r="D55" s="87"/>
      <c r="E55" s="87"/>
      <c r="F55" s="87"/>
      <c r="G55" s="87"/>
      <c r="H55" s="87"/>
      <c r="I55" s="87"/>
      <c r="J55" s="87"/>
      <c r="K55" s="89"/>
      <c r="L55" s="98"/>
      <c r="M55" s="87"/>
      <c r="N55" s="89"/>
      <c r="O55" s="95"/>
      <c r="S55" s="100"/>
    </row>
    <row r="56" spans="1:20" s="86" customFormat="1" ht="16.5" customHeight="1">
      <c r="A56" s="101"/>
      <c r="B56" s="244" t="s">
        <v>234</v>
      </c>
      <c r="C56" s="219">
        <v>2</v>
      </c>
      <c r="D56" s="87" t="s">
        <v>182</v>
      </c>
      <c r="E56" s="87"/>
      <c r="F56" s="87"/>
      <c r="G56" s="87"/>
      <c r="H56" s="87"/>
      <c r="I56" s="87"/>
      <c r="J56" s="87"/>
      <c r="K56" s="89" t="s">
        <v>11</v>
      </c>
      <c r="L56" s="90">
        <v>26812.5</v>
      </c>
      <c r="M56" s="87" t="s">
        <v>70</v>
      </c>
      <c r="N56" s="89" t="s">
        <v>16</v>
      </c>
      <c r="O56" s="95">
        <f t="shared" ref="O56" si="1">C56*L56</f>
        <v>53625</v>
      </c>
      <c r="S56" s="100"/>
    </row>
    <row r="57" spans="1:20" s="86" customFormat="1" ht="16.5" customHeight="1">
      <c r="A57" s="101"/>
      <c r="B57" s="244"/>
      <c r="C57" s="219"/>
      <c r="D57" s="276"/>
      <c r="E57" s="276"/>
      <c r="F57" s="276"/>
      <c r="G57" s="276"/>
      <c r="H57" s="276"/>
      <c r="I57" s="276"/>
      <c r="J57" s="276"/>
      <c r="K57" s="89"/>
      <c r="L57" s="90"/>
      <c r="M57" s="276"/>
      <c r="N57" s="89"/>
      <c r="O57" s="95"/>
      <c r="S57" s="100"/>
    </row>
    <row r="58" spans="1:20" s="86" customFormat="1" ht="15" customHeight="1">
      <c r="A58" s="86">
        <v>11</v>
      </c>
      <c r="B58" s="87" t="s">
        <v>143</v>
      </c>
      <c r="C58" s="88"/>
      <c r="D58" s="87"/>
      <c r="E58" s="87"/>
      <c r="F58" s="87"/>
      <c r="G58" s="87"/>
      <c r="H58" s="87"/>
      <c r="I58" s="87"/>
      <c r="J58" s="87"/>
      <c r="K58" s="89"/>
      <c r="L58" s="90"/>
      <c r="M58" s="87"/>
      <c r="N58" s="89"/>
      <c r="O58" s="95"/>
    </row>
    <row r="59" spans="1:20" s="86" customFormat="1" ht="15" customHeight="1">
      <c r="B59" s="87" t="s">
        <v>144</v>
      </c>
      <c r="C59" s="88"/>
      <c r="D59" s="87"/>
      <c r="E59" s="87"/>
      <c r="F59" s="87"/>
      <c r="G59" s="87"/>
      <c r="H59" s="87"/>
      <c r="I59" s="87"/>
      <c r="J59" s="87"/>
      <c r="K59" s="89"/>
      <c r="L59" s="90"/>
      <c r="M59" s="87"/>
      <c r="N59" s="89"/>
      <c r="O59" s="95"/>
    </row>
    <row r="60" spans="1:20" s="86" customFormat="1" ht="23.25" customHeight="1">
      <c r="B60" s="936">
        <f>B39</f>
        <v>59500</v>
      </c>
      <c r="C60" s="936"/>
      <c r="D60" s="275" t="s">
        <v>2</v>
      </c>
      <c r="E60" s="87"/>
      <c r="F60" s="99">
        <v>0.9</v>
      </c>
      <c r="G60" s="87"/>
      <c r="H60" s="87"/>
      <c r="I60" s="87"/>
      <c r="J60" s="87"/>
      <c r="K60" s="89"/>
      <c r="L60" s="936">
        <f>B60*F60</f>
        <v>53550</v>
      </c>
      <c r="M60" s="936"/>
      <c r="N60" s="89" t="s">
        <v>6</v>
      </c>
      <c r="O60" s="95"/>
    </row>
    <row r="61" spans="1:20" s="86" customFormat="1" ht="23.25" customHeight="1">
      <c r="B61" s="937">
        <f>L60</f>
        <v>53550</v>
      </c>
      <c r="C61" s="937"/>
      <c r="D61" s="90" t="s">
        <v>6</v>
      </c>
      <c r="E61" s="87"/>
      <c r="F61" s="87"/>
      <c r="G61" s="87"/>
      <c r="H61" s="87"/>
      <c r="I61" s="87"/>
      <c r="J61" s="87"/>
      <c r="K61" s="89" t="s">
        <v>17</v>
      </c>
      <c r="L61" s="90">
        <v>2760</v>
      </c>
      <c r="M61" s="87" t="s">
        <v>1</v>
      </c>
      <c r="N61" s="149" t="s">
        <v>16</v>
      </c>
      <c r="O61" s="150">
        <f>L61*B61/1000</f>
        <v>147798</v>
      </c>
    </row>
    <row r="62" spans="1:20" s="86" customFormat="1" ht="27.75" customHeight="1">
      <c r="B62" s="87"/>
      <c r="C62" s="88"/>
      <c r="D62" s="87"/>
      <c r="E62" s="87"/>
      <c r="F62" s="87"/>
      <c r="G62" s="87"/>
      <c r="H62" s="87"/>
      <c r="I62" s="87"/>
      <c r="J62" s="87"/>
      <c r="K62" s="89"/>
      <c r="L62" s="90"/>
      <c r="M62" s="87" t="s">
        <v>183</v>
      </c>
      <c r="N62" s="91" t="s">
        <v>5</v>
      </c>
      <c r="O62" s="92">
        <f>SUM(O5:O61)</f>
        <v>11796261.375</v>
      </c>
    </row>
    <row r="63" spans="1:20" s="86" customFormat="1" ht="15" customHeight="1">
      <c r="B63" s="87"/>
      <c r="C63" s="88"/>
      <c r="D63" s="87"/>
      <c r="E63" s="87"/>
      <c r="F63" s="87"/>
      <c r="G63" s="87"/>
      <c r="H63" s="87"/>
      <c r="I63" s="87"/>
      <c r="J63" s="87"/>
      <c r="K63" s="89"/>
      <c r="L63" s="90"/>
      <c r="M63" s="87"/>
      <c r="N63" s="91"/>
      <c r="O63" s="92"/>
    </row>
    <row r="64" spans="1:20" s="86" customFormat="1" ht="15" customHeight="1">
      <c r="B64" s="89" t="s">
        <v>39</v>
      </c>
      <c r="C64" s="263">
        <v>0.33700000000000002</v>
      </c>
      <c r="D64" s="262" t="s">
        <v>237</v>
      </c>
      <c r="E64" s="87"/>
      <c r="F64" s="87"/>
      <c r="G64" s="87"/>
      <c r="H64" s="262" t="s">
        <v>238</v>
      </c>
      <c r="I64" s="87"/>
      <c r="J64" s="87"/>
      <c r="K64" s="933"/>
      <c r="L64" s="933"/>
      <c r="M64" s="87"/>
      <c r="N64" s="89" t="s">
        <v>16</v>
      </c>
      <c r="O64" s="95">
        <f>O62*33.7/100</f>
        <v>3975340.0833750004</v>
      </c>
      <c r="T64" s="100"/>
    </row>
    <row r="65" spans="2:20" s="86" customFormat="1" ht="15" customHeight="1">
      <c r="B65" s="89"/>
      <c r="C65" s="263"/>
      <c r="D65" s="262"/>
      <c r="E65" s="262"/>
      <c r="F65" s="262"/>
      <c r="G65" s="262"/>
      <c r="H65" s="262"/>
      <c r="I65" s="262"/>
      <c r="J65" s="262"/>
      <c r="K65" s="261"/>
      <c r="L65" s="261"/>
      <c r="M65" s="262"/>
      <c r="N65" s="89"/>
      <c r="O65" s="95"/>
      <c r="T65" s="100"/>
    </row>
    <row r="66" spans="2:20" s="86" customFormat="1" ht="26.25" customHeight="1">
      <c r="B66" s="87"/>
      <c r="C66" s="88"/>
      <c r="D66" s="87"/>
      <c r="E66" s="87"/>
      <c r="F66" s="87"/>
      <c r="G66" s="87"/>
      <c r="H66" s="87"/>
      <c r="I66" s="87"/>
      <c r="J66" s="87"/>
      <c r="K66" s="89"/>
      <c r="L66" s="87"/>
      <c r="M66" s="245" t="s">
        <v>189</v>
      </c>
      <c r="N66" s="246" t="s">
        <v>5</v>
      </c>
      <c r="O66" s="247">
        <f>SUM(O62:O65)</f>
        <v>15771601.458374999</v>
      </c>
    </row>
    <row r="67" spans="2:20" s="86" customFormat="1" ht="15" customHeight="1">
      <c r="B67" s="87"/>
      <c r="C67" s="87"/>
      <c r="D67" s="87"/>
      <c r="E67" s="87"/>
      <c r="F67" s="87"/>
      <c r="G67" s="87"/>
      <c r="H67" s="87"/>
      <c r="I67" s="87"/>
      <c r="J67" s="87"/>
      <c r="K67" s="87"/>
      <c r="L67" s="87"/>
      <c r="M67" s="87"/>
    </row>
    <row r="68" spans="2:20" s="86" customFormat="1" ht="15" customHeight="1">
      <c r="B68" s="87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</row>
    <row r="69" spans="2:20" s="7" customFormat="1" ht="15.75"/>
    <row r="70" spans="2:20">
      <c r="B70"/>
      <c r="C70"/>
      <c r="D70"/>
      <c r="E70"/>
      <c r="J70" s="1"/>
      <c r="K70" s="94"/>
    </row>
    <row r="71" spans="2:20">
      <c r="B71"/>
      <c r="C71"/>
      <c r="D71"/>
      <c r="E71"/>
      <c r="K71" s="94"/>
    </row>
    <row r="72" spans="2:20" ht="15.75">
      <c r="B72" s="7"/>
      <c r="C72"/>
      <c r="D72"/>
      <c r="E72"/>
      <c r="F72"/>
      <c r="G72"/>
      <c r="H72"/>
      <c r="I72"/>
      <c r="J72"/>
    </row>
  </sheetData>
  <mergeCells count="15">
    <mergeCell ref="A1:O1"/>
    <mergeCell ref="D26:E26"/>
    <mergeCell ref="B5:E5"/>
    <mergeCell ref="B11:E11"/>
    <mergeCell ref="B16:E16"/>
    <mergeCell ref="B22:E22"/>
    <mergeCell ref="K64:L64"/>
    <mergeCell ref="D27:E27"/>
    <mergeCell ref="F29:H29"/>
    <mergeCell ref="B30:E30"/>
    <mergeCell ref="B39:C39"/>
    <mergeCell ref="B60:C60"/>
    <mergeCell ref="B61:C61"/>
    <mergeCell ref="L60:M60"/>
    <mergeCell ref="H28:I28"/>
  </mergeCells>
  <pageMargins left="0.62" right="0.22" top="0.43" bottom="0.28999999999999998" header="0.28999999999999998" footer="0.23"/>
  <pageSetup paperSize="9" orientation="portrait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FF0000"/>
  </sheetPr>
  <dimension ref="A1:AF95"/>
  <sheetViews>
    <sheetView topLeftCell="A73" workbookViewId="0">
      <selection activeCell="L97" sqref="L97"/>
    </sheetView>
  </sheetViews>
  <sheetFormatPr defaultRowHeight="15.75"/>
  <cols>
    <col min="1" max="1" width="4" style="7" customWidth="1"/>
    <col min="2" max="2" width="10.140625" style="7" customWidth="1"/>
    <col min="3" max="3" width="3" style="7" customWidth="1"/>
    <col min="4" max="4" width="2.5703125" style="7" customWidth="1"/>
    <col min="5" max="5" width="7.28515625" style="222" customWidth="1"/>
    <col min="6" max="6" width="2.28515625" style="7" customWidth="1"/>
    <col min="7" max="7" width="6.85546875" style="7" customWidth="1"/>
    <col min="8" max="8" width="3" style="7" customWidth="1"/>
    <col min="9" max="9" width="6.42578125" style="7" customWidth="1"/>
    <col min="10" max="10" width="2.42578125" style="7" customWidth="1"/>
    <col min="11" max="11" width="6.28515625" style="7" customWidth="1"/>
    <col min="12" max="12" width="3.42578125" style="7" customWidth="1"/>
    <col min="13" max="13" width="9.85546875" style="7" customWidth="1"/>
    <col min="14" max="14" width="9.7109375" style="7" customWidth="1"/>
    <col min="15" max="15" width="7.140625" style="7" customWidth="1"/>
    <col min="16" max="16" width="3.28515625" style="7" customWidth="1"/>
    <col min="17" max="17" width="10" style="7" customWidth="1"/>
    <col min="18" max="18" width="2" style="7" customWidth="1"/>
    <col min="19" max="19" width="11" style="7" customWidth="1"/>
    <col min="20" max="20" width="7.42578125" style="7" customWidth="1"/>
    <col min="21" max="21" width="3.28515625" style="7" customWidth="1"/>
    <col min="22" max="22" width="6.140625" style="7" customWidth="1"/>
    <col min="23" max="23" width="2.5703125" style="7" customWidth="1"/>
    <col min="24" max="24" width="6.7109375" style="7" customWidth="1"/>
    <col min="25" max="25" width="3.7109375" style="7" customWidth="1"/>
    <col min="26" max="26" width="7.5703125" style="7" customWidth="1"/>
    <col min="27" max="36" width="9.140625" style="7" customWidth="1"/>
    <col min="37" max="16384" width="9.140625" style="7"/>
  </cols>
  <sheetData>
    <row r="1" spans="1:32" ht="3.75" customHeight="1">
      <c r="A1" s="924" t="s">
        <v>235</v>
      </c>
      <c r="B1" s="924"/>
      <c r="C1" s="924"/>
      <c r="D1" s="924"/>
      <c r="E1" s="924"/>
      <c r="F1" s="924"/>
      <c r="G1" s="924"/>
      <c r="H1" s="924"/>
      <c r="I1" s="924"/>
      <c r="J1" s="924"/>
      <c r="K1" s="924"/>
      <c r="L1" s="924"/>
      <c r="M1" s="924"/>
      <c r="N1" s="924"/>
      <c r="O1" s="924"/>
      <c r="P1" s="924"/>
      <c r="Q1" s="924"/>
    </row>
    <row r="2" spans="1:32" ht="22.5" customHeight="1">
      <c r="A2" s="924"/>
      <c r="B2" s="924"/>
      <c r="C2" s="924"/>
      <c r="D2" s="924"/>
      <c r="E2" s="924"/>
      <c r="F2" s="924"/>
      <c r="G2" s="924"/>
      <c r="H2" s="924"/>
      <c r="I2" s="924"/>
      <c r="J2" s="924"/>
      <c r="K2" s="924"/>
      <c r="L2" s="924"/>
      <c r="M2" s="924"/>
      <c r="N2" s="924"/>
      <c r="O2" s="924"/>
      <c r="P2" s="924"/>
      <c r="Q2" s="924"/>
    </row>
    <row r="3" spans="1:32" ht="15" customHeight="1">
      <c r="A3" s="7">
        <v>1</v>
      </c>
      <c r="B3" s="7" t="s">
        <v>95</v>
      </c>
      <c r="Q3" s="65"/>
    </row>
    <row r="4" spans="1:32" ht="15" customHeight="1">
      <c r="B4" s="7" t="s">
        <v>96</v>
      </c>
      <c r="Q4" s="65"/>
    </row>
    <row r="5" spans="1:32" ht="15" customHeight="1">
      <c r="B5" s="7" t="s">
        <v>97</v>
      </c>
      <c r="Q5" s="65"/>
    </row>
    <row r="6" spans="1:32" ht="15" customHeight="1">
      <c r="B6" s="20"/>
      <c r="Q6" s="65"/>
      <c r="S6" s="73"/>
      <c r="V6" s="222"/>
    </row>
    <row r="7" spans="1:32" ht="15" customHeight="1">
      <c r="C7" s="7">
        <v>1</v>
      </c>
      <c r="D7" s="7" t="s">
        <v>2</v>
      </c>
      <c r="E7" s="226">
        <v>10.5</v>
      </c>
      <c r="F7" s="7" t="s">
        <v>2</v>
      </c>
      <c r="G7" s="41">
        <v>7.5</v>
      </c>
      <c r="H7" s="7" t="s">
        <v>2</v>
      </c>
      <c r="I7" s="228">
        <v>8</v>
      </c>
      <c r="K7" s="228"/>
      <c r="L7" s="7" t="s">
        <v>3</v>
      </c>
      <c r="M7" s="41">
        <f>C7*E7*G7*I7</f>
        <v>630</v>
      </c>
      <c r="N7" s="63" t="s">
        <v>18</v>
      </c>
      <c r="Q7" s="65" t="s">
        <v>15</v>
      </c>
      <c r="R7" s="7" t="s">
        <v>15</v>
      </c>
      <c r="S7" s="73"/>
      <c r="V7" s="222"/>
    </row>
    <row r="8" spans="1:32" ht="15" customHeight="1">
      <c r="G8" s="222"/>
      <c r="I8" s="226"/>
      <c r="K8" s="226"/>
      <c r="M8" s="213">
        <f>SUM(M7:M7)</f>
        <v>630</v>
      </c>
      <c r="N8" s="63" t="s">
        <v>18</v>
      </c>
      <c r="Q8" s="65"/>
    </row>
    <row r="9" spans="1:32" ht="15" customHeight="1">
      <c r="B9" s="68">
        <f>M8</f>
        <v>630</v>
      </c>
      <c r="C9" s="68"/>
      <c r="D9" s="68"/>
      <c r="E9" s="77" t="s">
        <v>167</v>
      </c>
      <c r="F9" s="69"/>
      <c r="G9" s="69"/>
      <c r="M9" s="70" t="s">
        <v>17</v>
      </c>
      <c r="N9" s="227">
        <v>3176.25</v>
      </c>
      <c r="O9" s="7" t="s">
        <v>86</v>
      </c>
      <c r="P9" s="7" t="s">
        <v>16</v>
      </c>
      <c r="Q9" s="72">
        <f>B9*N9/1000</f>
        <v>2001.0374999999999</v>
      </c>
    </row>
    <row r="10" spans="1:32" ht="15" customHeight="1">
      <c r="M10" s="73"/>
      <c r="N10" s="63"/>
      <c r="Q10" s="72"/>
    </row>
    <row r="11" spans="1:32" ht="15" customHeight="1">
      <c r="A11" s="7">
        <v>2</v>
      </c>
      <c r="B11" s="7" t="s">
        <v>218</v>
      </c>
      <c r="F11" s="222"/>
      <c r="G11" s="222"/>
      <c r="M11" s="81"/>
      <c r="N11" s="63"/>
      <c r="Q11" s="72"/>
    </row>
    <row r="12" spans="1:32" ht="15" customHeight="1">
      <c r="C12" s="7">
        <v>1</v>
      </c>
      <c r="D12" s="7" t="s">
        <v>2</v>
      </c>
      <c r="E12" s="226">
        <v>10.5</v>
      </c>
      <c r="F12" s="7" t="s">
        <v>2</v>
      </c>
      <c r="G12" s="41">
        <v>7.5</v>
      </c>
      <c r="H12" s="7" t="s">
        <v>2</v>
      </c>
      <c r="I12" s="228">
        <v>3</v>
      </c>
      <c r="K12" s="228"/>
      <c r="L12" s="7" t="s">
        <v>3</v>
      </c>
      <c r="M12" s="41">
        <f>C12*E12*G12*I12</f>
        <v>236.25</v>
      </c>
      <c r="N12" s="63" t="s">
        <v>18</v>
      </c>
      <c r="Q12" s="72"/>
    </row>
    <row r="13" spans="1:32" ht="15" customHeight="1">
      <c r="B13" s="68">
        <f>M12</f>
        <v>236.25</v>
      </c>
      <c r="C13" s="69"/>
      <c r="D13" s="69"/>
      <c r="E13" s="77" t="s">
        <v>167</v>
      </c>
      <c r="F13" s="69"/>
      <c r="G13" s="69"/>
      <c r="M13" s="229" t="str">
        <f>M9</f>
        <v xml:space="preserve"> @Rs:</v>
      </c>
      <c r="N13" s="63">
        <v>1058.75</v>
      </c>
      <c r="O13" s="7" t="s">
        <v>219</v>
      </c>
      <c r="P13" s="7" t="s">
        <v>16</v>
      </c>
      <c r="Q13" s="72">
        <f>B13*N13/1000</f>
        <v>250.12968749999999</v>
      </c>
      <c r="AF13" s="7">
        <v>8263</v>
      </c>
    </row>
    <row r="14" spans="1:32" ht="15" customHeight="1">
      <c r="A14" s="7">
        <v>3</v>
      </c>
      <c r="B14" s="7" t="s">
        <v>100</v>
      </c>
      <c r="N14" s="63"/>
      <c r="Q14" s="72"/>
    </row>
    <row r="15" spans="1:32" ht="15" customHeight="1">
      <c r="B15" s="7" t="s">
        <v>101</v>
      </c>
      <c r="N15" s="63"/>
      <c r="Q15" s="72"/>
    </row>
    <row r="16" spans="1:32" ht="15" customHeight="1">
      <c r="B16" s="20"/>
      <c r="N16" s="63"/>
      <c r="Q16" s="72"/>
    </row>
    <row r="17" spans="1:17" ht="15" customHeight="1">
      <c r="C17" s="7">
        <v>1</v>
      </c>
      <c r="D17" s="7" t="s">
        <v>2</v>
      </c>
      <c r="E17" s="226">
        <v>10.5</v>
      </c>
      <c r="F17" s="7" t="s">
        <v>2</v>
      </c>
      <c r="G17" s="41">
        <v>7.5</v>
      </c>
      <c r="H17" s="7" t="s">
        <v>2</v>
      </c>
      <c r="I17" s="228">
        <v>0.75</v>
      </c>
      <c r="K17" s="228"/>
      <c r="L17" s="7" t="s">
        <v>3</v>
      </c>
      <c r="M17" s="41">
        <f>C17*E17*G17*I17</f>
        <v>59.0625</v>
      </c>
      <c r="N17" s="63" t="s">
        <v>18</v>
      </c>
      <c r="Q17" s="72"/>
    </row>
    <row r="18" spans="1:17" ht="15" customHeight="1">
      <c r="M18" s="66">
        <f>SUM(M17:M17)</f>
        <v>59.0625</v>
      </c>
      <c r="N18" s="67" t="s">
        <v>18</v>
      </c>
      <c r="Q18" s="72"/>
    </row>
    <row r="19" spans="1:17" ht="21.75" customHeight="1">
      <c r="B19" s="68">
        <f>M18</f>
        <v>59.0625</v>
      </c>
      <c r="C19" s="68"/>
      <c r="D19" s="68"/>
      <c r="E19" s="77" t="str">
        <f>N18</f>
        <v>Cft.</v>
      </c>
      <c r="F19" s="69"/>
      <c r="G19" s="69"/>
      <c r="M19" s="229" t="str">
        <f>M9</f>
        <v xml:space="preserve"> @Rs:</v>
      </c>
      <c r="N19" s="227">
        <v>9416.2800000000007</v>
      </c>
      <c r="O19" s="7" t="s">
        <v>12</v>
      </c>
      <c r="P19" s="7" t="s">
        <v>16</v>
      </c>
      <c r="Q19" s="72">
        <f>B19*N19/100</f>
        <v>5561.4903750000012</v>
      </c>
    </row>
    <row r="20" spans="1:17" ht="13.5" customHeight="1">
      <c r="B20" s="68"/>
      <c r="C20" s="68"/>
      <c r="D20" s="68"/>
      <c r="E20" s="77"/>
      <c r="F20" s="69"/>
      <c r="G20" s="69"/>
      <c r="M20" s="143"/>
      <c r="N20" s="227"/>
      <c r="Q20" s="72"/>
    </row>
    <row r="21" spans="1:17" ht="15" customHeight="1">
      <c r="A21" s="7">
        <v>4</v>
      </c>
      <c r="B21" s="7" t="s">
        <v>13</v>
      </c>
      <c r="N21" s="63"/>
      <c r="Q21" s="72"/>
    </row>
    <row r="22" spans="1:17" ht="15" customHeight="1">
      <c r="B22" s="21" t="s">
        <v>104</v>
      </c>
      <c r="C22" s="21"/>
      <c r="D22" s="21"/>
      <c r="F22" s="21"/>
      <c r="G22" s="21"/>
      <c r="H22" s="21"/>
      <c r="I22" s="21"/>
      <c r="J22" s="21"/>
      <c r="N22" s="63"/>
      <c r="Q22" s="72"/>
    </row>
    <row r="23" spans="1:17" ht="15" customHeight="1">
      <c r="B23" s="21" t="s">
        <v>105</v>
      </c>
      <c r="C23" s="21"/>
      <c r="D23" s="21"/>
      <c r="F23" s="21"/>
      <c r="G23" s="21"/>
      <c r="H23" s="21"/>
      <c r="I23" s="21"/>
      <c r="J23" s="21"/>
      <c r="N23" s="63"/>
      <c r="Q23" s="72"/>
    </row>
    <row r="24" spans="1:17" ht="15" customHeight="1">
      <c r="B24" s="7" t="s">
        <v>106</v>
      </c>
      <c r="N24" s="63"/>
      <c r="Q24" s="72"/>
    </row>
    <row r="25" spans="1:17" ht="15" customHeight="1">
      <c r="B25" s="7" t="s">
        <v>107</v>
      </c>
      <c r="N25" s="63"/>
      <c r="Q25" s="72"/>
    </row>
    <row r="26" spans="1:17" ht="15" customHeight="1">
      <c r="B26" s="7" t="s">
        <v>108</v>
      </c>
      <c r="N26" s="63"/>
      <c r="Q26" s="72"/>
    </row>
    <row r="27" spans="1:17" ht="15" customHeight="1">
      <c r="B27" s="7" t="s">
        <v>109</v>
      </c>
      <c r="N27" s="63"/>
      <c r="Q27" s="72"/>
    </row>
    <row r="28" spans="1:17" ht="15" hidden="1" customHeight="1">
      <c r="B28" s="7" t="s">
        <v>146</v>
      </c>
      <c r="M28" s="41"/>
      <c r="N28" s="63"/>
      <c r="Q28" s="72"/>
    </row>
    <row r="29" spans="1:17" ht="15" hidden="1" customHeight="1">
      <c r="B29" s="7" t="s">
        <v>98</v>
      </c>
      <c r="E29" s="222">
        <v>0</v>
      </c>
      <c r="F29" s="7" t="s">
        <v>2</v>
      </c>
      <c r="G29" s="41" t="e">
        <f>#REF!</f>
        <v>#REF!</v>
      </c>
      <c r="H29" s="41" t="s">
        <v>2</v>
      </c>
      <c r="I29" s="41" t="e">
        <f>#REF!</f>
        <v>#REF!</v>
      </c>
      <c r="J29" s="41" t="s">
        <v>2</v>
      </c>
      <c r="K29" s="41">
        <v>1</v>
      </c>
      <c r="L29" s="7" t="s">
        <v>3</v>
      </c>
      <c r="M29" s="41" t="e">
        <f>E29*G29*I29*K29</f>
        <v>#REF!</v>
      </c>
      <c r="N29" s="63" t="s">
        <v>18</v>
      </c>
      <c r="Q29" s="72"/>
    </row>
    <row r="30" spans="1:17" ht="15" hidden="1" customHeight="1">
      <c r="B30" s="7" t="s">
        <v>99</v>
      </c>
      <c r="E30" s="222">
        <v>0</v>
      </c>
      <c r="F30" s="7" t="s">
        <v>2</v>
      </c>
      <c r="G30" s="41" t="e">
        <f>#REF!</f>
        <v>#REF!</v>
      </c>
      <c r="H30" s="41" t="s">
        <v>2</v>
      </c>
      <c r="I30" s="41" t="e">
        <f>I29</f>
        <v>#REF!</v>
      </c>
      <c r="J30" s="41" t="s">
        <v>2</v>
      </c>
      <c r="K30" s="41">
        <f>K29</f>
        <v>1</v>
      </c>
      <c r="L30" s="7" t="s">
        <v>3</v>
      </c>
      <c r="M30" s="41" t="e">
        <f>E30*G30*I30*K30</f>
        <v>#REF!</v>
      </c>
      <c r="N30" s="63" t="s">
        <v>18</v>
      </c>
      <c r="Q30" s="72"/>
    </row>
    <row r="31" spans="1:17" ht="12.75" customHeight="1">
      <c r="B31" s="20"/>
      <c r="G31" s="41"/>
      <c r="H31" s="41"/>
      <c r="I31" s="41"/>
      <c r="J31" s="41"/>
      <c r="K31" s="41"/>
      <c r="M31" s="41"/>
      <c r="N31" s="63"/>
      <c r="Q31" s="72"/>
    </row>
    <row r="32" spans="1:17" ht="15" customHeight="1">
      <c r="B32" s="7" t="s">
        <v>220</v>
      </c>
      <c r="C32" s="7">
        <v>1</v>
      </c>
      <c r="D32" s="7" t="s">
        <v>2</v>
      </c>
      <c r="E32" s="226">
        <v>9.5</v>
      </c>
      <c r="F32" s="7" t="s">
        <v>2</v>
      </c>
      <c r="G32" s="41">
        <v>6.5</v>
      </c>
      <c r="H32" s="7" t="s">
        <v>2</v>
      </c>
      <c r="I32" s="226">
        <v>0.75</v>
      </c>
      <c r="K32" s="228"/>
      <c r="L32" s="7" t="s">
        <v>3</v>
      </c>
      <c r="M32" s="41">
        <f>C32*E32*G32*I32</f>
        <v>46.3125</v>
      </c>
      <c r="N32" s="63" t="s">
        <v>18</v>
      </c>
      <c r="Q32" s="72"/>
    </row>
    <row r="33" spans="1:32" ht="18" customHeight="1">
      <c r="B33" s="68" t="s">
        <v>186</v>
      </c>
      <c r="C33" s="7">
        <v>2</v>
      </c>
      <c r="D33" s="7" t="s">
        <v>2</v>
      </c>
      <c r="E33" s="63" t="s">
        <v>221</v>
      </c>
      <c r="F33" s="7" t="s">
        <v>135</v>
      </c>
      <c r="G33" s="41" t="s">
        <v>222</v>
      </c>
      <c r="H33" s="41" t="s">
        <v>2</v>
      </c>
      <c r="I33" s="41">
        <v>0.75</v>
      </c>
      <c r="J33" s="41" t="s">
        <v>2</v>
      </c>
      <c r="K33" s="41">
        <v>9</v>
      </c>
      <c r="L33" s="7" t="s">
        <v>3</v>
      </c>
      <c r="M33" s="140">
        <f>C33*S33*I33*K33</f>
        <v>0</v>
      </c>
      <c r="N33" s="63" t="s">
        <v>6</v>
      </c>
      <c r="Q33" s="72"/>
      <c r="S33" s="41"/>
    </row>
    <row r="34" spans="1:32" ht="15" customHeight="1">
      <c r="B34" s="68"/>
      <c r="C34" s="7">
        <v>1</v>
      </c>
      <c r="D34" s="7" t="s">
        <v>2</v>
      </c>
      <c r="E34" s="222">
        <v>5</v>
      </c>
      <c r="F34" s="7" t="s">
        <v>2</v>
      </c>
      <c r="G34" s="41">
        <v>3</v>
      </c>
      <c r="H34" s="41" t="s">
        <v>2</v>
      </c>
      <c r="I34" s="41">
        <v>0.33</v>
      </c>
      <c r="J34" s="41"/>
      <c r="K34" s="41"/>
      <c r="L34" s="7" t="s">
        <v>3</v>
      </c>
      <c r="M34" s="140">
        <f>C34*E34*G34*I34</f>
        <v>4.95</v>
      </c>
      <c r="N34" s="63" t="s">
        <v>6</v>
      </c>
      <c r="Q34" s="72"/>
    </row>
    <row r="35" spans="1:32" ht="15" customHeight="1">
      <c r="B35" s="203"/>
      <c r="C35" s="68"/>
      <c r="D35" s="68"/>
      <c r="E35" s="77"/>
      <c r="F35" s="69"/>
      <c r="G35" s="69"/>
      <c r="M35" s="229">
        <f>SUM(M32:M34)</f>
        <v>51.262500000000003</v>
      </c>
      <c r="N35" s="227"/>
      <c r="Q35" s="72"/>
    </row>
    <row r="36" spans="1:32" ht="15" customHeight="1">
      <c r="B36" s="7" t="s">
        <v>33</v>
      </c>
      <c r="C36" s="68"/>
      <c r="D36" s="68"/>
      <c r="E36" s="77"/>
      <c r="F36" s="69"/>
      <c r="G36" s="69"/>
      <c r="M36" s="229"/>
      <c r="N36" s="227"/>
      <c r="Q36" s="72"/>
    </row>
    <row r="37" spans="1:32" ht="15" customHeight="1">
      <c r="B37" s="68"/>
      <c r="C37" s="7">
        <v>1</v>
      </c>
      <c r="D37" s="7" t="s">
        <v>2</v>
      </c>
      <c r="E37" s="226">
        <v>2</v>
      </c>
      <c r="F37" s="7" t="s">
        <v>2</v>
      </c>
      <c r="G37" s="41">
        <v>2</v>
      </c>
      <c r="H37" s="41" t="s">
        <v>2</v>
      </c>
      <c r="I37" s="41">
        <v>0.33</v>
      </c>
      <c r="J37" s="41"/>
      <c r="K37" s="41"/>
      <c r="L37" s="7" t="s">
        <v>30</v>
      </c>
      <c r="M37" s="234">
        <f>C37*E37*G37*I37</f>
        <v>1.32</v>
      </c>
      <c r="N37" s="63" t="s">
        <v>6</v>
      </c>
      <c r="Q37" s="72"/>
    </row>
    <row r="38" spans="1:32" ht="15" customHeight="1">
      <c r="B38" s="68"/>
      <c r="E38" s="226"/>
      <c r="G38" s="41"/>
      <c r="H38" s="41"/>
      <c r="I38" s="41"/>
      <c r="J38" s="41"/>
      <c r="K38" s="41"/>
      <c r="M38" s="213">
        <v>245.68</v>
      </c>
      <c r="N38" s="63"/>
      <c r="Q38" s="72"/>
    </row>
    <row r="39" spans="1:32" ht="15" customHeight="1">
      <c r="B39" s="68">
        <f>M38</f>
        <v>245.68</v>
      </c>
      <c r="C39" s="68"/>
      <c r="D39" s="68"/>
      <c r="E39" s="77" t="s">
        <v>6</v>
      </c>
      <c r="F39" s="69"/>
      <c r="G39" s="69"/>
      <c r="M39" s="143" t="s">
        <v>223</v>
      </c>
      <c r="N39" s="235">
        <v>337</v>
      </c>
      <c r="O39" s="7" t="s">
        <v>48</v>
      </c>
      <c r="P39" s="7" t="s">
        <v>16</v>
      </c>
      <c r="Q39" s="72">
        <f>B39*N39</f>
        <v>82794.16</v>
      </c>
    </row>
    <row r="40" spans="1:32" ht="15" customHeight="1">
      <c r="B40" s="76"/>
      <c r="C40" s="76"/>
      <c r="D40" s="76"/>
      <c r="E40" s="77"/>
      <c r="F40" s="77"/>
      <c r="G40" s="77"/>
      <c r="M40" s="229"/>
      <c r="N40" s="63"/>
      <c r="Q40" s="72"/>
    </row>
    <row r="41" spans="1:32" ht="15" customHeight="1">
      <c r="A41" s="38">
        <v>5</v>
      </c>
      <c r="B41" s="7" t="s">
        <v>110</v>
      </c>
      <c r="N41" s="63"/>
      <c r="Q41" s="72"/>
    </row>
    <row r="42" spans="1:32" ht="15" customHeight="1">
      <c r="A42" s="38"/>
      <c r="B42" s="7" t="s">
        <v>111</v>
      </c>
      <c r="N42" s="63"/>
      <c r="Q42" s="72"/>
    </row>
    <row r="43" spans="1:32" ht="15" customHeight="1">
      <c r="A43" s="38"/>
      <c r="B43" s="7" t="s">
        <v>112</v>
      </c>
      <c r="N43" s="63"/>
      <c r="Q43" s="72"/>
    </row>
    <row r="44" spans="1:32" ht="15" customHeight="1">
      <c r="B44" s="226">
        <f>M38</f>
        <v>245.68</v>
      </c>
      <c r="C44" s="226"/>
      <c r="D44" s="226"/>
      <c r="E44" s="222" t="s">
        <v>2</v>
      </c>
      <c r="G44" s="41">
        <v>4.5</v>
      </c>
      <c r="H44" s="7" t="s">
        <v>31</v>
      </c>
      <c r="I44" s="7">
        <v>112</v>
      </c>
      <c r="L44" s="7" t="s">
        <v>3</v>
      </c>
      <c r="M44" s="41">
        <f>(B44*G44)/I44</f>
        <v>9.8710714285714278</v>
      </c>
      <c r="N44" s="63" t="s">
        <v>9</v>
      </c>
      <c r="Q44" s="72"/>
    </row>
    <row r="45" spans="1:32" ht="15" customHeight="1">
      <c r="B45" s="68">
        <f>M44</f>
        <v>9.8710714285714278</v>
      </c>
      <c r="C45" s="68"/>
      <c r="D45" s="68"/>
      <c r="E45" s="77" t="s">
        <v>9</v>
      </c>
      <c r="F45" s="69"/>
      <c r="G45" s="69"/>
      <c r="M45" s="229" t="str">
        <f>M39</f>
        <v>@RS</v>
      </c>
      <c r="N45" s="227">
        <v>5001.7</v>
      </c>
      <c r="O45" s="7" t="s">
        <v>60</v>
      </c>
      <c r="P45" s="7" t="s">
        <v>16</v>
      </c>
      <c r="Q45" s="72">
        <v>49367</v>
      </c>
      <c r="AF45" s="7">
        <v>21457</v>
      </c>
    </row>
    <row r="46" spans="1:32" ht="15" customHeight="1">
      <c r="B46" s="226"/>
      <c r="C46" s="226"/>
      <c r="D46" s="226"/>
      <c r="F46" s="222"/>
      <c r="G46" s="222"/>
      <c r="M46" s="229"/>
      <c r="N46" s="63"/>
      <c r="Q46" s="72"/>
    </row>
    <row r="47" spans="1:32" customFormat="1">
      <c r="A47" s="220">
        <v>6</v>
      </c>
      <c r="B47" s="21" t="s">
        <v>74</v>
      </c>
      <c r="C47" s="220"/>
      <c r="D47" s="220"/>
      <c r="E47" s="220"/>
      <c r="F47" s="220"/>
      <c r="G47" s="220"/>
      <c r="H47" s="220"/>
      <c r="I47" s="220"/>
      <c r="J47" s="220"/>
      <c r="K47" s="220"/>
      <c r="L47" s="220"/>
      <c r="N47" s="29"/>
      <c r="O47" s="5"/>
      <c r="P47" s="19"/>
      <c r="Q47" s="223"/>
      <c r="R47" s="5"/>
    </row>
    <row r="48" spans="1:32" customFormat="1">
      <c r="A48" s="220"/>
      <c r="B48" s="21" t="s">
        <v>75</v>
      </c>
      <c r="C48" s="220"/>
      <c r="D48" s="220"/>
      <c r="E48" s="220"/>
      <c r="F48" s="220"/>
      <c r="G48" s="220"/>
      <c r="H48" s="220"/>
      <c r="I48" s="220"/>
      <c r="J48" s="220"/>
      <c r="K48" s="220"/>
      <c r="L48" s="220"/>
      <c r="N48" s="29"/>
      <c r="O48" s="5"/>
      <c r="P48" s="19"/>
      <c r="Q48" s="223"/>
      <c r="R48" s="5"/>
    </row>
    <row r="49" spans="1:32" customFormat="1">
      <c r="A49" s="220"/>
      <c r="B49" s="21" t="s">
        <v>126</v>
      </c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N49" s="29"/>
      <c r="O49" s="5"/>
      <c r="P49" s="19"/>
      <c r="Q49" s="223"/>
      <c r="R49" s="5"/>
    </row>
    <row r="50" spans="1:32" customFormat="1" ht="19.5" customHeight="1">
      <c r="A50" s="220"/>
      <c r="B50" s="7"/>
      <c r="C50" s="220">
        <v>2</v>
      </c>
      <c r="D50" s="231" t="s">
        <v>2</v>
      </c>
      <c r="E50" s="230" t="s">
        <v>224</v>
      </c>
      <c r="F50" s="231" t="s">
        <v>135</v>
      </c>
      <c r="G50" s="231" t="s">
        <v>225</v>
      </c>
      <c r="H50" s="220"/>
      <c r="I50" s="224"/>
      <c r="J50" s="220" t="s">
        <v>15</v>
      </c>
      <c r="K50" s="220" t="s">
        <v>15</v>
      </c>
      <c r="L50" s="220" t="s">
        <v>15</v>
      </c>
      <c r="M50" t="s">
        <v>3</v>
      </c>
      <c r="N50" s="221">
        <v>29</v>
      </c>
      <c r="O50" s="5" t="s">
        <v>69</v>
      </c>
      <c r="P50" s="19"/>
      <c r="Q50" s="223"/>
      <c r="R50" s="5"/>
    </row>
    <row r="51" spans="1:32" ht="15" customHeight="1">
      <c r="B51" s="68">
        <f>N50</f>
        <v>29</v>
      </c>
      <c r="C51" s="68"/>
      <c r="D51" s="68"/>
      <c r="E51" s="77" t="s">
        <v>9</v>
      </c>
      <c r="F51" s="69"/>
      <c r="G51" s="69"/>
      <c r="M51" s="229" t="str">
        <f>M45</f>
        <v>@RS</v>
      </c>
      <c r="N51" s="227">
        <v>86</v>
      </c>
      <c r="O51" s="7" t="s">
        <v>70</v>
      </c>
      <c r="P51" s="7" t="s">
        <v>16</v>
      </c>
      <c r="Q51" s="72">
        <f>B51*N51</f>
        <v>2494</v>
      </c>
      <c r="AF51" s="7">
        <v>21457</v>
      </c>
    </row>
    <row r="52" spans="1:32" ht="15" customHeight="1">
      <c r="B52" s="68"/>
      <c r="C52" s="68"/>
      <c r="D52" s="68"/>
      <c r="E52" s="77"/>
      <c r="F52" s="69"/>
      <c r="G52" s="69"/>
      <c r="M52" s="229"/>
      <c r="N52" s="63"/>
      <c r="Q52" s="72"/>
    </row>
    <row r="53" spans="1:32" ht="15" customHeight="1">
      <c r="B53" s="68"/>
      <c r="C53" s="68"/>
      <c r="D53" s="68"/>
      <c r="E53" s="77"/>
      <c r="F53" s="69"/>
      <c r="G53" s="69"/>
      <c r="M53" s="252"/>
      <c r="N53" s="63"/>
      <c r="Q53" s="72"/>
    </row>
    <row r="54" spans="1:32" ht="15" customHeight="1">
      <c r="B54" s="68"/>
      <c r="C54" s="68"/>
      <c r="D54" s="68"/>
      <c r="E54" s="77"/>
      <c r="F54" s="69"/>
      <c r="G54" s="69"/>
      <c r="M54" s="252"/>
      <c r="N54" s="63"/>
      <c r="Q54" s="72"/>
    </row>
    <row r="55" spans="1:32" ht="15" customHeight="1">
      <c r="B55" s="68"/>
      <c r="C55" s="68"/>
      <c r="D55" s="68"/>
      <c r="E55" s="77"/>
      <c r="F55" s="69"/>
      <c r="G55" s="69"/>
      <c r="M55" s="252"/>
      <c r="N55" s="63"/>
      <c r="Q55" s="72"/>
    </row>
    <row r="56" spans="1:32" ht="15" customHeight="1">
      <c r="B56" s="68"/>
      <c r="C56" s="68"/>
      <c r="D56" s="68"/>
      <c r="E56" s="77"/>
      <c r="F56" s="69"/>
      <c r="G56" s="69"/>
      <c r="M56" s="252"/>
      <c r="N56" s="63"/>
      <c r="Q56" s="72"/>
    </row>
    <row r="57" spans="1:32" ht="15" customHeight="1">
      <c r="B57" s="68"/>
      <c r="C57" s="68"/>
      <c r="D57" s="68"/>
      <c r="E57" s="77"/>
      <c r="F57" s="69"/>
      <c r="G57" s="69"/>
      <c r="M57" s="252"/>
      <c r="N57" s="63"/>
      <c r="Q57" s="72"/>
    </row>
    <row r="58" spans="1:32" ht="15" customHeight="1">
      <c r="A58" s="38">
        <v>7</v>
      </c>
      <c r="B58" s="7" t="s">
        <v>113</v>
      </c>
      <c r="N58" s="63"/>
      <c r="Q58" s="72"/>
    </row>
    <row r="59" spans="1:32" ht="15" customHeight="1">
      <c r="A59" s="38"/>
      <c r="B59" s="7" t="s">
        <v>114</v>
      </c>
      <c r="N59" s="63"/>
      <c r="Q59" s="72"/>
    </row>
    <row r="60" spans="1:32" ht="15" customHeight="1">
      <c r="A60" s="38"/>
      <c r="B60" s="7" t="s">
        <v>115</v>
      </c>
      <c r="N60" s="63"/>
      <c r="Q60" s="72"/>
    </row>
    <row r="61" spans="1:32" ht="15" customHeight="1">
      <c r="B61" s="236" t="s">
        <v>212</v>
      </c>
      <c r="C61" s="7">
        <v>1</v>
      </c>
      <c r="D61" s="7" t="s">
        <v>2</v>
      </c>
      <c r="E61" s="251">
        <v>3.5</v>
      </c>
      <c r="G61" s="228">
        <v>6</v>
      </c>
      <c r="H61" s="79"/>
      <c r="I61" s="228"/>
      <c r="J61" s="7" t="s">
        <v>21</v>
      </c>
      <c r="K61" s="41">
        <f>C61*E61*G61</f>
        <v>21</v>
      </c>
      <c r="L61" s="205"/>
      <c r="M61" s="65"/>
      <c r="N61" s="63"/>
      <c r="O61" s="79"/>
      <c r="Q61" s="72"/>
    </row>
    <row r="62" spans="1:32" ht="19.5" customHeight="1">
      <c r="B62" s="226"/>
      <c r="C62" s="939" t="s">
        <v>226</v>
      </c>
      <c r="D62" s="939"/>
      <c r="E62" s="939"/>
      <c r="F62" s="939"/>
      <c r="G62" s="939"/>
      <c r="I62" s="222"/>
      <c r="K62" s="41"/>
      <c r="M62" s="65"/>
      <c r="N62" s="63"/>
      <c r="O62" s="41">
        <f>21*5*2.2/112</f>
        <v>2.0625000000000004</v>
      </c>
      <c r="P62" s="7" t="s">
        <v>9</v>
      </c>
      <c r="Q62" s="72"/>
    </row>
    <row r="63" spans="1:32" ht="19.5" customHeight="1">
      <c r="B63" s="226"/>
      <c r="C63" s="940">
        <v>112</v>
      </c>
      <c r="D63" s="940"/>
      <c r="E63" s="940"/>
      <c r="F63" s="940"/>
      <c r="G63" s="940"/>
      <c r="I63" s="222"/>
      <c r="K63" s="41"/>
      <c r="M63" s="65"/>
      <c r="N63" s="63"/>
      <c r="O63" s="79"/>
      <c r="Q63" s="72"/>
    </row>
    <row r="64" spans="1:32" ht="15" customHeight="1">
      <c r="B64" s="68">
        <f>O62</f>
        <v>2.0625000000000004</v>
      </c>
      <c r="C64" s="68"/>
      <c r="D64" s="68"/>
      <c r="E64" s="77" t="s">
        <v>9</v>
      </c>
      <c r="F64" s="69"/>
      <c r="G64" s="69"/>
      <c r="M64" s="229" t="s">
        <v>17</v>
      </c>
      <c r="N64" s="63">
        <v>4928.49</v>
      </c>
      <c r="O64" s="7" t="s">
        <v>60</v>
      </c>
      <c r="P64" s="7" t="s">
        <v>16</v>
      </c>
      <c r="Q64" s="72">
        <v>10153</v>
      </c>
      <c r="AF64" s="7">
        <v>15032</v>
      </c>
    </row>
    <row r="65" spans="1:32" ht="15" customHeight="1">
      <c r="N65" s="63"/>
      <c r="Q65" s="72"/>
    </row>
    <row r="66" spans="1:32" ht="15" customHeight="1">
      <c r="A66" s="7">
        <v>8</v>
      </c>
      <c r="B66" s="7" t="s">
        <v>116</v>
      </c>
      <c r="N66" s="63"/>
      <c r="Q66" s="72"/>
    </row>
    <row r="67" spans="1:32" ht="15" customHeight="1">
      <c r="B67" s="7" t="s">
        <v>117</v>
      </c>
      <c r="N67" s="63"/>
      <c r="Q67" s="72"/>
    </row>
    <row r="68" spans="1:32" ht="15" customHeight="1">
      <c r="B68" s="7" t="s">
        <v>118</v>
      </c>
      <c r="I68" s="222">
        <f>A58</f>
        <v>7</v>
      </c>
      <c r="M68" s="66">
        <v>1.47</v>
      </c>
      <c r="N68" s="67" t="s">
        <v>184</v>
      </c>
      <c r="Q68" s="72"/>
    </row>
    <row r="69" spans="1:32" ht="15" customHeight="1">
      <c r="B69" s="68">
        <f>M68</f>
        <v>1.47</v>
      </c>
      <c r="C69" s="68"/>
      <c r="D69" s="68"/>
      <c r="E69" s="77" t="str">
        <f>N68</f>
        <v>cwt</v>
      </c>
      <c r="F69" s="69"/>
      <c r="G69" s="69"/>
      <c r="M69" s="229" t="str">
        <f>M64</f>
        <v xml:space="preserve"> @Rs:</v>
      </c>
      <c r="N69" s="63">
        <v>271.04000000000002</v>
      </c>
      <c r="O69" s="7" t="s">
        <v>60</v>
      </c>
      <c r="P69" s="7" t="s">
        <v>5</v>
      </c>
      <c r="Q69" s="72">
        <f>B69*N69</f>
        <v>398.42880000000002</v>
      </c>
      <c r="AF69" s="7">
        <v>827</v>
      </c>
    </row>
    <row r="70" spans="1:32" ht="15" customHeight="1">
      <c r="B70" s="76"/>
      <c r="C70" s="76"/>
      <c r="D70" s="76"/>
      <c r="E70" s="77"/>
      <c r="F70" s="77"/>
      <c r="G70" s="77"/>
      <c r="M70" s="229"/>
      <c r="N70" s="63"/>
      <c r="Q70" s="72"/>
    </row>
    <row r="71" spans="1:32" ht="15" customHeight="1">
      <c r="A71" s="7">
        <v>9</v>
      </c>
      <c r="B71" s="7" t="s">
        <v>227</v>
      </c>
      <c r="E71" s="41"/>
      <c r="F71" s="41"/>
      <c r="G71" s="41"/>
      <c r="H71" s="41"/>
      <c r="I71" s="41"/>
      <c r="J71" s="41"/>
      <c r="K71" s="41"/>
      <c r="L71" s="227"/>
      <c r="O71" s="72"/>
    </row>
    <row r="72" spans="1:32" ht="15" customHeight="1">
      <c r="B72" s="7" t="s">
        <v>102</v>
      </c>
      <c r="E72" s="41"/>
      <c r="F72" s="41"/>
      <c r="G72" s="41"/>
      <c r="H72" s="41"/>
      <c r="I72" s="41"/>
      <c r="J72" s="41"/>
      <c r="K72" s="41"/>
      <c r="L72" s="227"/>
      <c r="O72" s="72"/>
    </row>
    <row r="73" spans="1:32" ht="15" customHeight="1">
      <c r="B73" s="7" t="s">
        <v>228</v>
      </c>
      <c r="C73" s="7">
        <v>1</v>
      </c>
      <c r="D73" s="7" t="s">
        <v>2</v>
      </c>
      <c r="E73" s="41">
        <v>5</v>
      </c>
      <c r="F73" s="41" t="s">
        <v>2</v>
      </c>
      <c r="G73" s="41">
        <v>1.1299999999999999</v>
      </c>
      <c r="H73" s="41" t="s">
        <v>2</v>
      </c>
      <c r="I73" s="41">
        <v>0.75</v>
      </c>
      <c r="J73" s="41" t="s">
        <v>3</v>
      </c>
      <c r="K73" s="41">
        <f t="shared" ref="K73:K74" si="0">I73*G73*E73*C73</f>
        <v>4.2374999999999998</v>
      </c>
      <c r="L73" s="227" t="s">
        <v>18</v>
      </c>
      <c r="O73" s="65" t="s">
        <v>15</v>
      </c>
      <c r="P73" s="7" t="s">
        <v>15</v>
      </c>
      <c r="Q73" s="7" t="s">
        <v>15</v>
      </c>
    </row>
    <row r="74" spans="1:32" ht="15" customHeight="1">
      <c r="B74" s="7" t="s">
        <v>229</v>
      </c>
      <c r="C74" s="7">
        <v>2</v>
      </c>
      <c r="D74" s="7" t="s">
        <v>2</v>
      </c>
      <c r="E74" s="41">
        <v>0.75</v>
      </c>
      <c r="F74" s="41" t="s">
        <v>2</v>
      </c>
      <c r="G74" s="41">
        <v>0.75</v>
      </c>
      <c r="H74" s="41" t="s">
        <v>2</v>
      </c>
      <c r="I74" s="41">
        <v>8</v>
      </c>
      <c r="J74" s="41" t="s">
        <v>3</v>
      </c>
      <c r="K74" s="41">
        <f t="shared" si="0"/>
        <v>9</v>
      </c>
      <c r="L74" s="227" t="s">
        <v>18</v>
      </c>
      <c r="O74" s="65"/>
    </row>
    <row r="75" spans="1:32" ht="15" customHeight="1">
      <c r="E75" s="41"/>
      <c r="F75" s="41"/>
      <c r="G75" s="41"/>
      <c r="H75" s="41"/>
      <c r="I75" s="41"/>
      <c r="J75" s="41" t="s">
        <v>3</v>
      </c>
      <c r="K75" s="41">
        <f>SUM(K73:K74)</f>
        <v>13.237500000000001</v>
      </c>
      <c r="L75" s="227" t="s">
        <v>18</v>
      </c>
      <c r="O75" s="65"/>
    </row>
    <row r="76" spans="1:32" ht="15" customHeight="1">
      <c r="B76" s="68">
        <v>13.23</v>
      </c>
      <c r="C76" s="68"/>
      <c r="D76" s="68"/>
      <c r="E76" s="77" t="s">
        <v>167</v>
      </c>
      <c r="F76" s="69"/>
      <c r="G76" s="69"/>
      <c r="M76" s="143" t="s">
        <v>213</v>
      </c>
      <c r="N76" s="63">
        <v>11948.36</v>
      </c>
      <c r="O76" s="7" t="s">
        <v>230</v>
      </c>
      <c r="P76" s="7" t="s">
        <v>5</v>
      </c>
      <c r="Q76" s="72">
        <f>B76*N76/100</f>
        <v>1580.768028</v>
      </c>
      <c r="AF76" s="7">
        <v>827</v>
      </c>
    </row>
    <row r="77" spans="1:32" ht="15" customHeight="1">
      <c r="A77" s="7">
        <v>10</v>
      </c>
      <c r="B77" s="7" t="s">
        <v>231</v>
      </c>
      <c r="N77" s="63"/>
      <c r="Q77" s="72"/>
    </row>
    <row r="78" spans="1:32" ht="15" customHeight="1">
      <c r="B78" s="7" t="s">
        <v>228</v>
      </c>
      <c r="C78" s="7">
        <v>1</v>
      </c>
      <c r="D78" s="7" t="s">
        <v>2</v>
      </c>
      <c r="E78" s="41">
        <v>5</v>
      </c>
      <c r="F78" s="41" t="s">
        <v>2</v>
      </c>
      <c r="G78" s="41">
        <v>2.63</v>
      </c>
      <c r="H78" s="41"/>
      <c r="I78" s="41"/>
      <c r="J78" s="41" t="s">
        <v>3</v>
      </c>
      <c r="K78" s="41">
        <f>C78*E78*G78</f>
        <v>13.149999999999999</v>
      </c>
      <c r="L78" s="227" t="s">
        <v>18</v>
      </c>
      <c r="O78" s="65" t="s">
        <v>15</v>
      </c>
      <c r="P78" s="7" t="s">
        <v>15</v>
      </c>
      <c r="Q78" s="7" t="s">
        <v>15</v>
      </c>
    </row>
    <row r="79" spans="1:32" ht="15" customHeight="1">
      <c r="B79" s="7" t="s">
        <v>229</v>
      </c>
      <c r="C79" s="7">
        <v>2</v>
      </c>
      <c r="D79" s="7" t="s">
        <v>2</v>
      </c>
      <c r="E79" s="41">
        <v>8</v>
      </c>
      <c r="F79" s="41" t="s">
        <v>2</v>
      </c>
      <c r="G79" s="41">
        <v>2.25</v>
      </c>
      <c r="H79" s="41"/>
      <c r="I79" s="41"/>
      <c r="J79" s="41" t="s">
        <v>3</v>
      </c>
      <c r="K79" s="41">
        <f>C79*E79*G79</f>
        <v>36</v>
      </c>
      <c r="L79" s="227" t="s">
        <v>18</v>
      </c>
      <c r="O79" s="65"/>
    </row>
    <row r="80" spans="1:32" ht="15" customHeight="1">
      <c r="E80" s="41"/>
      <c r="F80" s="41"/>
      <c r="G80" s="41"/>
      <c r="H80" s="41"/>
      <c r="I80" s="41"/>
      <c r="J80" s="41" t="s">
        <v>3</v>
      </c>
      <c r="K80" s="66">
        <f>SUM(K78:K79)</f>
        <v>49.15</v>
      </c>
      <c r="L80" s="227" t="s">
        <v>18</v>
      </c>
      <c r="O80" s="65"/>
    </row>
    <row r="81" spans="1:32" ht="15" customHeight="1">
      <c r="B81" s="76">
        <f>K80</f>
        <v>49.15</v>
      </c>
      <c r="C81" s="68" t="s">
        <v>187</v>
      </c>
      <c r="D81" s="68"/>
      <c r="E81" s="77"/>
      <c r="F81" s="69"/>
      <c r="G81" s="69"/>
      <c r="M81" s="143" t="s">
        <v>213</v>
      </c>
      <c r="N81" s="63">
        <v>2283.9299999999998</v>
      </c>
      <c r="O81" s="7" t="s">
        <v>232</v>
      </c>
      <c r="P81" s="7" t="s">
        <v>5</v>
      </c>
      <c r="Q81" s="248">
        <f>B81*N81/100</f>
        <v>1122.5515949999999</v>
      </c>
      <c r="AF81" s="7">
        <v>827</v>
      </c>
    </row>
    <row r="82" spans="1:32" ht="18" customHeight="1">
      <c r="B82" s="68"/>
      <c r="C82" s="68"/>
      <c r="D82" s="68"/>
      <c r="E82" s="77"/>
      <c r="F82" s="69"/>
      <c r="G82" s="69"/>
      <c r="M82" s="143"/>
      <c r="N82" s="63" t="s">
        <v>183</v>
      </c>
      <c r="Q82" s="72">
        <v>155722</v>
      </c>
    </row>
    <row r="83" spans="1:32" ht="15" customHeight="1">
      <c r="B83" s="69"/>
      <c r="C83" s="69"/>
      <c r="D83" s="69"/>
      <c r="E83" s="77"/>
      <c r="F83" s="69"/>
      <c r="G83" s="69"/>
      <c r="M83" s="143"/>
      <c r="N83" s="227"/>
      <c r="Q83" s="142"/>
      <c r="T83"/>
      <c r="U83"/>
      <c r="V83"/>
      <c r="W83"/>
      <c r="X83"/>
    </row>
    <row r="84" spans="1:32" customFormat="1" ht="12.75">
      <c r="A84" s="255"/>
      <c r="C84" s="255"/>
      <c r="D84" s="255"/>
      <c r="E84" s="255"/>
      <c r="F84" s="255"/>
      <c r="G84" s="255" t="s">
        <v>239</v>
      </c>
      <c r="H84" s="255"/>
      <c r="I84" s="255"/>
      <c r="J84" s="255"/>
      <c r="K84" s="255"/>
      <c r="L84" s="255"/>
      <c r="N84" s="266" t="s">
        <v>238</v>
      </c>
      <c r="O84" s="53"/>
      <c r="P84" s="266" t="s">
        <v>5</v>
      </c>
      <c r="Q84" s="8">
        <f>Q82*33.7/100</f>
        <v>52478.314000000006</v>
      </c>
      <c r="R84" s="5"/>
    </row>
    <row r="85" spans="1:32" s="6" customFormat="1" ht="12.75" hidden="1">
      <c r="A85" s="258"/>
      <c r="N85" s="3"/>
      <c r="O85" s="3"/>
      <c r="P85" s="3"/>
      <c r="Q85" s="53"/>
    </row>
    <row r="86" spans="1:32" s="6" customFormat="1" ht="12.75" hidden="1">
      <c r="N86" s="3" t="s">
        <v>41</v>
      </c>
      <c r="O86" s="3"/>
      <c r="P86" s="14" t="s">
        <v>5</v>
      </c>
      <c r="Q86" s="8">
        <v>0</v>
      </c>
    </row>
    <row r="87" spans="1:32" s="6" customFormat="1" ht="12.75" hidden="1">
      <c r="N87" s="3"/>
      <c r="O87" s="3"/>
      <c r="P87" s="3"/>
      <c r="Q87" s="53"/>
      <c r="S87"/>
      <c r="T87"/>
      <c r="U87"/>
      <c r="V87"/>
      <c r="W87"/>
    </row>
    <row r="88" spans="1:32" s="6" customFormat="1" ht="12.75" hidden="1">
      <c r="J88" s="260" t="s">
        <v>35</v>
      </c>
      <c r="K88" s="260"/>
      <c r="L88" s="915">
        <v>0</v>
      </c>
      <c r="M88" s="915"/>
      <c r="N88" s="3" t="s">
        <v>42</v>
      </c>
      <c r="O88" s="3"/>
      <c r="P88" s="14" t="s">
        <v>5</v>
      </c>
      <c r="Q88" s="8" t="e">
        <f>#REF!*L88</f>
        <v>#REF!</v>
      </c>
      <c r="S88"/>
      <c r="T88"/>
      <c r="U88"/>
      <c r="V88"/>
      <c r="W88"/>
    </row>
    <row r="89" spans="1:32" s="6" customFormat="1" ht="12.75" hidden="1">
      <c r="N89" s="3"/>
      <c r="O89" s="3" t="s">
        <v>43</v>
      </c>
      <c r="P89" s="14" t="s">
        <v>5</v>
      </c>
      <c r="Q89" s="8" t="e">
        <f>#REF!-Q88</f>
        <v>#REF!</v>
      </c>
      <c r="S89"/>
      <c r="T89"/>
      <c r="U89"/>
      <c r="V89"/>
      <c r="W89"/>
    </row>
    <row r="90" spans="1:32" s="6" customFormat="1" ht="12.75">
      <c r="N90" s="3"/>
      <c r="O90" s="3"/>
      <c r="P90" s="264"/>
      <c r="Q90" s="237"/>
      <c r="S90"/>
      <c r="T90"/>
      <c r="U90"/>
      <c r="V90"/>
      <c r="W90"/>
    </row>
    <row r="91" spans="1:32" customFormat="1" ht="12.75">
      <c r="N91" s="3"/>
      <c r="O91" s="3"/>
      <c r="P91" s="3"/>
      <c r="Q91" s="3"/>
    </row>
    <row r="92" spans="1:32" customFormat="1" ht="12.75">
      <c r="N92" s="3"/>
      <c r="O92" s="3" t="s">
        <v>185</v>
      </c>
      <c r="P92" s="3" t="s">
        <v>5</v>
      </c>
      <c r="Q92" s="8">
        <f>Q84+Q82</f>
        <v>208200.31400000001</v>
      </c>
    </row>
    <row r="93" spans="1:32" customFormat="1" ht="12.75">
      <c r="E93" t="s">
        <v>243</v>
      </c>
      <c r="F93" t="s">
        <v>21</v>
      </c>
      <c r="G93" s="941">
        <f>Q92</f>
        <v>208200.31400000001</v>
      </c>
      <c r="H93" s="913"/>
      <c r="I93" s="273" t="s">
        <v>2</v>
      </c>
      <c r="J93" t="s">
        <v>244</v>
      </c>
      <c r="N93" s="3"/>
      <c r="O93" s="3"/>
      <c r="P93" s="3"/>
      <c r="Q93" s="8"/>
    </row>
    <row r="94" spans="1:32" customFormat="1" ht="12.75">
      <c r="N94" s="3"/>
      <c r="O94" s="3" t="s">
        <v>21</v>
      </c>
      <c r="P94" s="3" t="s">
        <v>5</v>
      </c>
      <c r="Q94" s="8">
        <f>G93*10</f>
        <v>2082003.1400000001</v>
      </c>
    </row>
    <row r="95" spans="1:32" customFormat="1" ht="12.75">
      <c r="N95" s="3"/>
      <c r="O95" s="3"/>
      <c r="P95" s="3"/>
      <c r="Q95" s="8"/>
    </row>
  </sheetData>
  <mergeCells count="5">
    <mergeCell ref="C62:G62"/>
    <mergeCell ref="C63:G63"/>
    <mergeCell ref="A1:Q2"/>
    <mergeCell ref="L88:M88"/>
    <mergeCell ref="G93:H93"/>
  </mergeCells>
  <pageMargins left="0.52" right="0" top="0.34" bottom="0.27" header="0.25" footer="0.23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FF0000"/>
  </sheetPr>
  <dimension ref="A1:R197"/>
  <sheetViews>
    <sheetView workbookViewId="0">
      <selection activeCell="U24" sqref="U24"/>
    </sheetView>
  </sheetViews>
  <sheetFormatPr defaultRowHeight="12.75"/>
  <cols>
    <col min="1" max="1" width="4.140625" style="337" customWidth="1"/>
    <col min="2" max="2" width="6.42578125" customWidth="1"/>
    <col min="3" max="3" width="4" style="337" customWidth="1"/>
    <col min="4" max="4" width="5.85546875" customWidth="1"/>
    <col min="5" max="5" width="6.140625" customWidth="1"/>
    <col min="6" max="6" width="3.42578125" customWidth="1"/>
    <col min="7" max="7" width="6.140625" customWidth="1"/>
    <col min="8" max="8" width="3.28515625" customWidth="1"/>
    <col min="9" max="9" width="6.7109375" customWidth="1"/>
    <col min="10" max="10" width="5.28515625" customWidth="1"/>
    <col min="12" max="13" width="9" customWidth="1"/>
    <col min="14" max="14" width="3.28515625" customWidth="1"/>
    <col min="17" max="17" width="9" customWidth="1"/>
    <col min="18" max="18" width="9.140625" hidden="1" customWidth="1"/>
  </cols>
  <sheetData>
    <row r="1" spans="1:15" ht="14.25">
      <c r="A1" s="960" t="s">
        <v>517</v>
      </c>
      <c r="B1" s="960"/>
      <c r="C1" s="960"/>
      <c r="D1" s="960"/>
      <c r="E1" s="960"/>
      <c r="F1" s="960"/>
      <c r="G1" s="960"/>
      <c r="H1" s="960"/>
      <c r="I1" s="960"/>
      <c r="J1" s="960"/>
      <c r="K1" s="960"/>
      <c r="L1" s="960"/>
      <c r="M1" s="960"/>
      <c r="N1" s="960"/>
      <c r="O1" s="960"/>
    </row>
    <row r="2" spans="1:15">
      <c r="A2" s="961"/>
      <c r="B2" s="961"/>
      <c r="C2" s="961"/>
      <c r="D2" s="961"/>
      <c r="E2" s="961"/>
      <c r="F2" s="961"/>
      <c r="G2" s="961"/>
      <c r="H2" s="961"/>
      <c r="I2" s="961"/>
      <c r="J2" s="961"/>
      <c r="K2" s="961"/>
      <c r="L2" s="961"/>
      <c r="M2" s="961"/>
      <c r="N2" s="961"/>
      <c r="O2" s="961"/>
    </row>
    <row r="3" spans="1:15">
      <c r="A3" s="337">
        <v>1</v>
      </c>
      <c r="B3" s="344" t="s">
        <v>36</v>
      </c>
    </row>
    <row r="4" spans="1:15">
      <c r="C4" s="337">
        <v>1</v>
      </c>
      <c r="D4" t="s">
        <v>2</v>
      </c>
      <c r="E4" s="344">
        <v>20</v>
      </c>
      <c r="F4" t="s">
        <v>2</v>
      </c>
      <c r="G4" s="337">
        <v>5</v>
      </c>
      <c r="H4" t="s">
        <v>2</v>
      </c>
      <c r="I4" s="132">
        <v>1</v>
      </c>
      <c r="J4" s="337" t="s">
        <v>3</v>
      </c>
      <c r="K4" s="132">
        <f>I4*G4*E4*C4</f>
        <v>100</v>
      </c>
    </row>
    <row r="5" spans="1:15" s="3" customFormat="1">
      <c r="A5" s="342"/>
      <c r="B5" s="951">
        <f>K4</f>
        <v>100</v>
      </c>
      <c r="C5" s="951"/>
      <c r="D5" s="951"/>
      <c r="E5" s="951"/>
      <c r="I5" s="3" t="s">
        <v>15</v>
      </c>
      <c r="K5" s="266" t="s">
        <v>19</v>
      </c>
      <c r="L5" s="12">
        <v>605</v>
      </c>
      <c r="M5" s="3" t="s">
        <v>12</v>
      </c>
      <c r="N5" s="3" t="s">
        <v>16</v>
      </c>
      <c r="O5" s="8">
        <f>B5*L5/100</f>
        <v>605</v>
      </c>
    </row>
    <row r="6" spans="1:15">
      <c r="A6" s="337">
        <v>2</v>
      </c>
      <c r="B6" t="s">
        <v>37</v>
      </c>
    </row>
    <row r="7" spans="1:15">
      <c r="B7" t="s">
        <v>20</v>
      </c>
    </row>
    <row r="8" spans="1:15">
      <c r="C8" s="337">
        <v>3</v>
      </c>
      <c r="D8" t="s">
        <v>2</v>
      </c>
      <c r="E8" s="337">
        <v>8</v>
      </c>
      <c r="F8" t="s">
        <v>2</v>
      </c>
      <c r="G8" s="13">
        <v>5</v>
      </c>
      <c r="H8" t="s">
        <v>2</v>
      </c>
      <c r="I8" s="344">
        <v>0.75</v>
      </c>
      <c r="J8" s="337" t="s">
        <v>21</v>
      </c>
      <c r="K8" s="13">
        <f>C8*E8*G8*I8</f>
        <v>90</v>
      </c>
    </row>
    <row r="9" spans="1:15" s="3" customFormat="1">
      <c r="A9" s="342"/>
      <c r="B9" s="951">
        <f>K8</f>
        <v>90</v>
      </c>
      <c r="C9" s="951"/>
      <c r="D9" s="951"/>
      <c r="E9" s="951"/>
      <c r="K9" s="266" t="str">
        <f>K5</f>
        <v xml:space="preserve"> @ Rs:</v>
      </c>
      <c r="L9" s="12">
        <v>1285.6300000000001</v>
      </c>
      <c r="M9" s="3" t="str">
        <f>M5</f>
        <v>P%Cft</v>
      </c>
      <c r="N9" s="3" t="s">
        <v>16</v>
      </c>
      <c r="O9" s="8">
        <f>B9*L9/100</f>
        <v>1157.067</v>
      </c>
    </row>
    <row r="10" spans="1:15">
      <c r="E10" t="s">
        <v>15</v>
      </c>
    </row>
    <row r="11" spans="1:15">
      <c r="A11" s="337">
        <v>3</v>
      </c>
      <c r="B11" t="s">
        <v>38</v>
      </c>
    </row>
    <row r="12" spans="1:15">
      <c r="B12" t="s">
        <v>22</v>
      </c>
      <c r="C12" s="337">
        <v>5</v>
      </c>
      <c r="D12" s="337" t="s">
        <v>2</v>
      </c>
      <c r="E12" s="340">
        <v>5</v>
      </c>
      <c r="F12" s="340" t="s">
        <v>2</v>
      </c>
      <c r="G12" s="340">
        <v>3</v>
      </c>
      <c r="H12" s="337" t="s">
        <v>2</v>
      </c>
      <c r="I12" s="338">
        <v>0.5</v>
      </c>
      <c r="J12" s="337" t="str">
        <f>J8</f>
        <v>=</v>
      </c>
      <c r="K12" s="13">
        <f>C12*E12*G12*I12</f>
        <v>37.5</v>
      </c>
    </row>
    <row r="13" spans="1:15" s="45" customFormat="1">
      <c r="A13" s="350"/>
      <c r="B13" s="959">
        <f>K12</f>
        <v>37.5</v>
      </c>
      <c r="C13" s="959"/>
      <c r="D13" s="959"/>
      <c r="E13" s="959"/>
      <c r="K13" s="351" t="str">
        <f>K9</f>
        <v xml:space="preserve"> @ Rs:</v>
      </c>
      <c r="L13" s="352">
        <v>3327.5</v>
      </c>
      <c r="M13" s="45" t="str">
        <f>M9</f>
        <v>P%Cft</v>
      </c>
      <c r="N13" s="45" t="str">
        <f>N9</f>
        <v>Rs:</v>
      </c>
      <c r="O13" s="46">
        <f>B13*L13/100</f>
        <v>1247.8125</v>
      </c>
    </row>
    <row r="14" spans="1:15">
      <c r="O14" s="344"/>
    </row>
    <row r="15" spans="1:15">
      <c r="A15" s="337">
        <v>4</v>
      </c>
      <c r="B15" t="s">
        <v>23</v>
      </c>
    </row>
    <row r="16" spans="1:15">
      <c r="B16" t="s">
        <v>282</v>
      </c>
    </row>
    <row r="17" spans="1:15">
      <c r="B17" t="s">
        <v>25</v>
      </c>
      <c r="C17" s="337">
        <v>1</v>
      </c>
      <c r="D17" s="337" t="s">
        <v>2</v>
      </c>
      <c r="E17" s="337">
        <v>300</v>
      </c>
      <c r="F17" s="337" t="s">
        <v>2</v>
      </c>
      <c r="G17" s="340">
        <v>3</v>
      </c>
      <c r="H17" s="337" t="s">
        <v>2</v>
      </c>
      <c r="I17" s="338">
        <v>0.42</v>
      </c>
      <c r="J17" s="337" t="s">
        <v>21</v>
      </c>
      <c r="K17" s="416">
        <f>C17*E17*G17*I17</f>
        <v>378</v>
      </c>
    </row>
    <row r="18" spans="1:15">
      <c r="B18" t="s">
        <v>257</v>
      </c>
      <c r="C18" s="337">
        <v>2</v>
      </c>
      <c r="D18" s="337" t="s">
        <v>2</v>
      </c>
      <c r="E18" s="679">
        <v>300</v>
      </c>
      <c r="F18" s="337" t="s">
        <v>2</v>
      </c>
      <c r="G18" s="340">
        <v>0.42</v>
      </c>
      <c r="H18" s="337" t="s">
        <v>2</v>
      </c>
      <c r="I18" s="338">
        <v>3</v>
      </c>
      <c r="J18" s="337" t="s">
        <v>21</v>
      </c>
      <c r="K18" s="416">
        <f>C18*E18*G18*I18</f>
        <v>756</v>
      </c>
    </row>
    <row r="19" spans="1:15">
      <c r="B19" t="s">
        <v>25</v>
      </c>
      <c r="C19" s="337">
        <v>1</v>
      </c>
      <c r="D19" s="337" t="s">
        <v>2</v>
      </c>
      <c r="E19" s="679">
        <v>300</v>
      </c>
      <c r="F19" s="337" t="s">
        <v>2</v>
      </c>
      <c r="G19" s="340">
        <v>3</v>
      </c>
      <c r="H19" s="337" t="s">
        <v>2</v>
      </c>
      <c r="I19" s="338">
        <v>0.42</v>
      </c>
      <c r="J19" s="337" t="s">
        <v>21</v>
      </c>
      <c r="K19" s="416">
        <f>C19*E19*G19*I19</f>
        <v>378</v>
      </c>
    </row>
    <row r="20" spans="1:15">
      <c r="D20" s="337"/>
      <c r="E20" s="337"/>
      <c r="F20" s="337"/>
      <c r="G20" s="340"/>
      <c r="H20" s="337"/>
      <c r="I20" s="338"/>
      <c r="J20" s="337" t="s">
        <v>21</v>
      </c>
      <c r="K20" s="433">
        <f>SUM(K17:K19)</f>
        <v>1512</v>
      </c>
    </row>
    <row r="21" spans="1:15" s="45" customFormat="1">
      <c r="A21" s="350"/>
      <c r="B21" s="959">
        <f>K20</f>
        <v>1512</v>
      </c>
      <c r="C21" s="959"/>
      <c r="D21" s="959"/>
      <c r="E21" s="959"/>
      <c r="K21" s="351" t="str">
        <f>K13</f>
        <v xml:space="preserve"> @ Rs:</v>
      </c>
      <c r="L21" s="352">
        <v>5445</v>
      </c>
      <c r="M21" s="45" t="str">
        <f>M13</f>
        <v>P%Cft</v>
      </c>
      <c r="N21" s="45" t="str">
        <f>N13</f>
        <v>Rs:</v>
      </c>
      <c r="O21" s="46">
        <f>B21*L21/100</f>
        <v>82328.399999999994</v>
      </c>
    </row>
    <row r="22" spans="1:15" ht="15.75">
      <c r="A22" s="337">
        <v>5</v>
      </c>
      <c r="B22" s="7" t="s">
        <v>79</v>
      </c>
      <c r="D22" s="19"/>
      <c r="E22" s="19"/>
    </row>
    <row r="23" spans="1:15" ht="15.75">
      <c r="B23" s="7" t="s">
        <v>80</v>
      </c>
    </row>
    <row r="24" spans="1:15" ht="15.75">
      <c r="B24" s="7" t="s">
        <v>81</v>
      </c>
    </row>
    <row r="25" spans="1:15" ht="15.75">
      <c r="B25" s="7" t="s">
        <v>82</v>
      </c>
    </row>
    <row r="26" spans="1:15" ht="15.75">
      <c r="B26" s="7" t="s">
        <v>83</v>
      </c>
    </row>
    <row r="27" spans="1:15" ht="15.75">
      <c r="B27" s="7" t="s">
        <v>84</v>
      </c>
    </row>
    <row r="28" spans="1:15" ht="15.75">
      <c r="B28" s="7" t="s">
        <v>129</v>
      </c>
    </row>
    <row r="29" spans="1:15" ht="15.75">
      <c r="B29" s="32" t="s">
        <v>45</v>
      </c>
    </row>
    <row r="30" spans="1:15" ht="15.75">
      <c r="B30" s="7" t="s">
        <v>283</v>
      </c>
      <c r="E30" s="337">
        <v>1</v>
      </c>
      <c r="F30" t="s">
        <v>2</v>
      </c>
      <c r="G30">
        <v>1530</v>
      </c>
      <c r="H30" t="s">
        <v>2</v>
      </c>
      <c r="I30" s="136">
        <v>5</v>
      </c>
      <c r="J30" t="s">
        <v>2</v>
      </c>
      <c r="K30" s="215">
        <v>3</v>
      </c>
      <c r="L30" s="450" t="s">
        <v>21</v>
      </c>
      <c r="M30" s="132">
        <f>E30*G30*I30*K30</f>
        <v>22950</v>
      </c>
      <c r="N30" t="s">
        <v>6</v>
      </c>
    </row>
    <row r="31" spans="1:15" ht="15.75">
      <c r="B31" s="7" t="s">
        <v>145</v>
      </c>
      <c r="E31" s="337">
        <v>1</v>
      </c>
      <c r="F31" t="s">
        <v>2</v>
      </c>
      <c r="G31">
        <v>9350</v>
      </c>
      <c r="H31" t="s">
        <v>2</v>
      </c>
      <c r="I31" s="2">
        <v>4</v>
      </c>
      <c r="J31" t="s">
        <v>2</v>
      </c>
      <c r="K31" s="215">
        <v>3</v>
      </c>
      <c r="L31" s="337" t="s">
        <v>21</v>
      </c>
      <c r="M31" s="132">
        <f>E31*G31*I31*K31</f>
        <v>112200</v>
      </c>
      <c r="N31" t="s">
        <v>6</v>
      </c>
    </row>
    <row r="32" spans="1:15" ht="15.75">
      <c r="A32" s="679"/>
      <c r="B32" s="7" t="s">
        <v>622</v>
      </c>
      <c r="C32" s="679"/>
      <c r="E32" s="679">
        <v>1</v>
      </c>
      <c r="F32" t="s">
        <v>2</v>
      </c>
      <c r="G32">
        <v>1050</v>
      </c>
      <c r="H32" t="s">
        <v>2</v>
      </c>
      <c r="I32" s="2">
        <v>3</v>
      </c>
      <c r="J32" t="s">
        <v>2</v>
      </c>
      <c r="K32" s="215">
        <v>3</v>
      </c>
      <c r="L32" s="679" t="s">
        <v>21</v>
      </c>
      <c r="M32" s="695">
        <f>E32*G32*I32*K32</f>
        <v>9450</v>
      </c>
      <c r="N32" t="s">
        <v>6</v>
      </c>
    </row>
    <row r="33" spans="1:15" ht="15.75">
      <c r="B33" s="7"/>
      <c r="L33" s="337"/>
      <c r="M33" s="178">
        <f>SUM(M30:M32)</f>
        <v>144600</v>
      </c>
      <c r="N33" t="s">
        <v>6</v>
      </c>
    </row>
    <row r="34" spans="1:15" s="45" customFormat="1">
      <c r="A34" s="350"/>
      <c r="B34" s="943">
        <f>M33</f>
        <v>144600</v>
      </c>
      <c r="C34" s="943"/>
      <c r="D34" s="943"/>
      <c r="E34" s="943"/>
      <c r="F34" s="45" t="s">
        <v>6</v>
      </c>
      <c r="J34" s="351" t="str">
        <f>K21</f>
        <v xml:space="preserve"> @ Rs:</v>
      </c>
      <c r="K34" s="953">
        <v>3600</v>
      </c>
      <c r="L34" s="953"/>
      <c r="M34" s="45" t="s">
        <v>1</v>
      </c>
      <c r="N34" s="45" t="s">
        <v>16</v>
      </c>
      <c r="O34" s="46">
        <f>B34*K34/1000</f>
        <v>520560</v>
      </c>
    </row>
    <row r="35" spans="1:15" ht="15.75">
      <c r="A35" s="337">
        <v>6</v>
      </c>
      <c r="B35" s="7" t="s">
        <v>87</v>
      </c>
    </row>
    <row r="36" spans="1:15" ht="15.75">
      <c r="B36" s="7" t="s">
        <v>80</v>
      </c>
    </row>
    <row r="37" spans="1:15" ht="15.75">
      <c r="B37" s="7" t="s">
        <v>81</v>
      </c>
    </row>
    <row r="38" spans="1:15" ht="15.75">
      <c r="B38" s="7" t="s">
        <v>82</v>
      </c>
    </row>
    <row r="39" spans="1:15" ht="15.75">
      <c r="B39" s="7" t="s">
        <v>83</v>
      </c>
    </row>
    <row r="40" spans="1:15" ht="15.75">
      <c r="B40" s="7" t="s">
        <v>84</v>
      </c>
    </row>
    <row r="41" spans="1:15" ht="15.75">
      <c r="B41" s="7" t="s">
        <v>130</v>
      </c>
    </row>
    <row r="42" spans="1:15" ht="15.75">
      <c r="B42" s="32" t="s">
        <v>45</v>
      </c>
    </row>
    <row r="43" spans="1:15" ht="15.75">
      <c r="B43" s="7" t="s">
        <v>283</v>
      </c>
      <c r="E43">
        <v>1</v>
      </c>
      <c r="F43" t="s">
        <v>2</v>
      </c>
      <c r="G43">
        <f>G30</f>
        <v>1530</v>
      </c>
      <c r="H43" t="s">
        <v>2</v>
      </c>
      <c r="I43" s="215">
        <f>I30</f>
        <v>5</v>
      </c>
      <c r="J43" t="s">
        <v>2</v>
      </c>
      <c r="K43" s="215">
        <v>3</v>
      </c>
      <c r="L43" s="268" t="s">
        <v>21</v>
      </c>
      <c r="M43" s="132">
        <f>E43*G43*I43*K43</f>
        <v>22950</v>
      </c>
      <c r="N43" t="s">
        <v>6</v>
      </c>
    </row>
    <row r="44" spans="1:15" ht="15.75">
      <c r="B44" s="7" t="s">
        <v>145</v>
      </c>
      <c r="E44">
        <v>1</v>
      </c>
      <c r="F44" t="s">
        <v>2</v>
      </c>
      <c r="G44">
        <f>G31</f>
        <v>9350</v>
      </c>
      <c r="H44" t="s">
        <v>2</v>
      </c>
      <c r="I44" s="2">
        <f>I31</f>
        <v>4</v>
      </c>
      <c r="J44" t="s">
        <v>2</v>
      </c>
      <c r="K44" s="215">
        <v>2</v>
      </c>
      <c r="L44" s="337" t="s">
        <v>21</v>
      </c>
      <c r="M44" s="132">
        <f>E44*G44*I44*K44</f>
        <v>74800</v>
      </c>
      <c r="N44" t="s">
        <v>6</v>
      </c>
    </row>
    <row r="45" spans="1:15" ht="15.75">
      <c r="A45" s="679"/>
      <c r="B45" s="7" t="s">
        <v>622</v>
      </c>
      <c r="C45" s="679"/>
      <c r="E45" s="679">
        <v>1</v>
      </c>
      <c r="F45" t="s">
        <v>2</v>
      </c>
      <c r="G45">
        <f>G32</f>
        <v>1050</v>
      </c>
      <c r="H45" t="s">
        <v>2</v>
      </c>
      <c r="I45" s="2">
        <v>3</v>
      </c>
      <c r="J45" t="s">
        <v>2</v>
      </c>
      <c r="K45" s="215">
        <v>2</v>
      </c>
      <c r="L45" s="679" t="s">
        <v>21</v>
      </c>
      <c r="M45" s="695">
        <f>E45*G45*I45*K45</f>
        <v>6300</v>
      </c>
      <c r="N45" t="s">
        <v>6</v>
      </c>
    </row>
    <row r="46" spans="1:15" ht="15.75">
      <c r="B46" s="7"/>
      <c r="L46" s="337"/>
      <c r="M46" s="178">
        <f>SUM(M43:M45)</f>
        <v>104050</v>
      </c>
      <c r="N46" t="s">
        <v>6</v>
      </c>
    </row>
    <row r="47" spans="1:15" s="45" customFormat="1">
      <c r="A47" s="350"/>
      <c r="B47" s="943">
        <f>M46</f>
        <v>104050</v>
      </c>
      <c r="C47" s="943"/>
      <c r="D47" s="943"/>
      <c r="E47" s="943"/>
      <c r="F47" s="45" t="s">
        <v>6</v>
      </c>
      <c r="J47" s="351" t="s">
        <v>17</v>
      </c>
      <c r="K47" s="953">
        <v>5400</v>
      </c>
      <c r="L47" s="953"/>
      <c r="M47" s="45" t="s">
        <v>1</v>
      </c>
      <c r="N47" s="45" t="s">
        <v>16</v>
      </c>
      <c r="O47" s="46">
        <f>B47*K47/1000</f>
        <v>561870</v>
      </c>
    </row>
    <row r="48" spans="1:15" ht="15.75">
      <c r="B48" s="32" t="s">
        <v>284</v>
      </c>
      <c r="C48" s="212"/>
      <c r="D48" s="345"/>
      <c r="E48" s="345"/>
      <c r="J48" s="346"/>
      <c r="K48" s="13"/>
      <c r="L48" s="13"/>
      <c r="O48" s="10"/>
    </row>
    <row r="49" spans="1:15" ht="15.75">
      <c r="B49" s="7" t="s">
        <v>283</v>
      </c>
      <c r="E49">
        <v>1</v>
      </c>
      <c r="F49" t="s">
        <v>2</v>
      </c>
      <c r="G49">
        <f>G30</f>
        <v>1530</v>
      </c>
      <c r="H49" t="s">
        <v>2</v>
      </c>
      <c r="I49" s="215">
        <v>5</v>
      </c>
      <c r="J49" t="s">
        <v>2</v>
      </c>
      <c r="K49" s="215">
        <v>3</v>
      </c>
      <c r="L49" s="268" t="s">
        <v>21</v>
      </c>
      <c r="M49" s="132">
        <f>E49*G49*I49*K49</f>
        <v>22950</v>
      </c>
      <c r="N49" t="s">
        <v>6</v>
      </c>
    </row>
    <row r="50" spans="1:15" ht="15.75">
      <c r="B50" s="7" t="s">
        <v>145</v>
      </c>
      <c r="E50">
        <v>1</v>
      </c>
      <c r="F50" t="s">
        <v>2</v>
      </c>
      <c r="G50">
        <f>G44</f>
        <v>9350</v>
      </c>
      <c r="H50" t="s">
        <v>2</v>
      </c>
      <c r="I50" s="2">
        <v>4</v>
      </c>
      <c r="J50" t="s">
        <v>2</v>
      </c>
      <c r="K50" s="215">
        <v>2</v>
      </c>
      <c r="L50" s="337" t="s">
        <v>21</v>
      </c>
      <c r="M50" s="132">
        <f>E50*G50*I50*K50</f>
        <v>74800</v>
      </c>
      <c r="N50" t="s">
        <v>6</v>
      </c>
    </row>
    <row r="51" spans="1:15" ht="15.75">
      <c r="A51" s="679"/>
      <c r="B51" s="7" t="s">
        <v>622</v>
      </c>
      <c r="C51" s="679"/>
      <c r="E51">
        <v>1</v>
      </c>
      <c r="F51" t="s">
        <v>2</v>
      </c>
      <c r="G51">
        <f>G45</f>
        <v>1050</v>
      </c>
      <c r="H51" t="s">
        <v>2</v>
      </c>
      <c r="I51" s="2">
        <v>3</v>
      </c>
      <c r="J51" t="s">
        <v>2</v>
      </c>
      <c r="K51" s="215">
        <v>2</v>
      </c>
      <c r="L51" s="679" t="s">
        <v>21</v>
      </c>
      <c r="M51" s="695">
        <f>E51*G51*I51*K51</f>
        <v>6300</v>
      </c>
      <c r="N51" t="s">
        <v>6</v>
      </c>
    </row>
    <row r="52" spans="1:15" ht="15.75">
      <c r="B52" s="7"/>
      <c r="L52" s="337" t="s">
        <v>21</v>
      </c>
      <c r="M52" s="178">
        <f>SUM(M49:M51)</f>
        <v>104050</v>
      </c>
      <c r="N52" t="s">
        <v>6</v>
      </c>
    </row>
    <row r="53" spans="1:15" s="3" customFormat="1">
      <c r="A53" s="342"/>
      <c r="B53" s="946">
        <f>M52</f>
        <v>104050</v>
      </c>
      <c r="C53" s="946"/>
      <c r="D53" s="946"/>
      <c r="E53" s="946"/>
      <c r="F53" s="3" t="s">
        <v>6</v>
      </c>
      <c r="J53" s="266" t="s">
        <v>17</v>
      </c>
      <c r="K53" s="948">
        <v>5950</v>
      </c>
      <c r="L53" s="948"/>
      <c r="M53" s="3" t="s">
        <v>1</v>
      </c>
      <c r="N53" s="3" t="s">
        <v>16</v>
      </c>
      <c r="O53" s="8">
        <v>178500</v>
      </c>
    </row>
    <row r="54" spans="1:15" ht="15.75">
      <c r="A54" s="337">
        <v>7</v>
      </c>
      <c r="B54" s="7" t="s">
        <v>285</v>
      </c>
    </row>
    <row r="55" spans="1:15" ht="15.75">
      <c r="B55" s="7" t="s">
        <v>80</v>
      </c>
    </row>
    <row r="56" spans="1:15" ht="15.75">
      <c r="B56" s="7" t="s">
        <v>81</v>
      </c>
    </row>
    <row r="57" spans="1:15" ht="15.75">
      <c r="B57" s="7" t="s">
        <v>82</v>
      </c>
    </row>
    <row r="58" spans="1:15" ht="15.75">
      <c r="B58" s="7" t="s">
        <v>83</v>
      </c>
    </row>
    <row r="59" spans="1:15" ht="15.75">
      <c r="B59" s="7" t="s">
        <v>84</v>
      </c>
    </row>
    <row r="60" spans="1:15" ht="15.75">
      <c r="B60" s="7" t="s">
        <v>131</v>
      </c>
    </row>
    <row r="61" spans="1:15" ht="15.75">
      <c r="B61" s="32" t="s">
        <v>286</v>
      </c>
    </row>
    <row r="62" spans="1:15" ht="15.75">
      <c r="B62" s="7" t="s">
        <v>283</v>
      </c>
      <c r="E62">
        <v>1</v>
      </c>
      <c r="F62" t="s">
        <v>2</v>
      </c>
      <c r="G62">
        <f>G43</f>
        <v>1530</v>
      </c>
      <c r="H62" t="s">
        <v>2</v>
      </c>
      <c r="I62" s="2">
        <v>5</v>
      </c>
      <c r="J62" t="s">
        <v>2</v>
      </c>
      <c r="K62" s="2">
        <v>0.75</v>
      </c>
      <c r="L62" s="268" t="s">
        <v>21</v>
      </c>
      <c r="M62" s="132">
        <f>E62*G62*I62*K62</f>
        <v>5737.5</v>
      </c>
      <c r="N62" t="s">
        <v>6</v>
      </c>
    </row>
    <row r="63" spans="1:15" ht="15.75">
      <c r="B63" s="7" t="s">
        <v>145</v>
      </c>
      <c r="E63">
        <v>1</v>
      </c>
      <c r="F63" t="s">
        <v>2</v>
      </c>
      <c r="G63">
        <f>G44</f>
        <v>9350</v>
      </c>
      <c r="H63" t="s">
        <v>2</v>
      </c>
      <c r="I63" s="2">
        <v>4</v>
      </c>
      <c r="J63" t="s">
        <v>2</v>
      </c>
      <c r="K63" s="2">
        <v>0.5</v>
      </c>
      <c r="L63" s="337" t="s">
        <v>21</v>
      </c>
      <c r="M63" s="132">
        <f>E63*G63*I63*K63</f>
        <v>18700</v>
      </c>
      <c r="N63" t="s">
        <v>6</v>
      </c>
    </row>
    <row r="64" spans="1:15" ht="15.75">
      <c r="A64" s="679"/>
      <c r="B64" s="7" t="s">
        <v>622</v>
      </c>
      <c r="C64" s="679"/>
      <c r="E64">
        <v>1</v>
      </c>
      <c r="F64" t="s">
        <v>2</v>
      </c>
      <c r="G64">
        <f>G45</f>
        <v>1050</v>
      </c>
      <c r="H64" t="s">
        <v>2</v>
      </c>
      <c r="I64" s="2">
        <v>3</v>
      </c>
      <c r="J64" t="s">
        <v>2</v>
      </c>
      <c r="K64" s="2">
        <v>0.5</v>
      </c>
      <c r="L64" s="679" t="s">
        <v>21</v>
      </c>
      <c r="M64" s="695">
        <f>E64*G64*I64*K64</f>
        <v>1575</v>
      </c>
      <c r="N64" t="s">
        <v>6</v>
      </c>
    </row>
    <row r="65" spans="1:15" ht="15.75">
      <c r="B65" s="7"/>
      <c r="L65" s="337"/>
      <c r="M65" s="178">
        <f>SUM(M62:M64)</f>
        <v>26012.5</v>
      </c>
      <c r="N65" t="s">
        <v>6</v>
      </c>
    </row>
    <row r="66" spans="1:15" s="45" customFormat="1">
      <c r="A66" s="350"/>
      <c r="B66" s="943">
        <f>M65</f>
        <v>26012.5</v>
      </c>
      <c r="C66" s="943"/>
      <c r="D66" s="943"/>
      <c r="E66" s="943"/>
      <c r="F66" s="45" t="s">
        <v>6</v>
      </c>
      <c r="J66" s="351" t="s">
        <v>17</v>
      </c>
      <c r="K66" s="953">
        <f>11900</f>
        <v>11900</v>
      </c>
      <c r="L66" s="953"/>
      <c r="M66" s="45" t="s">
        <v>1</v>
      </c>
      <c r="N66" s="45" t="s">
        <v>16</v>
      </c>
      <c r="O66" s="46">
        <f>B66*K66/1000</f>
        <v>309548.75</v>
      </c>
    </row>
    <row r="67" spans="1:15" ht="15.75">
      <c r="A67" s="337">
        <v>8</v>
      </c>
      <c r="B67" s="7" t="s">
        <v>287</v>
      </c>
    </row>
    <row r="68" spans="1:15" ht="15.75">
      <c r="B68" s="7" t="s">
        <v>288</v>
      </c>
    </row>
    <row r="69" spans="1:15" ht="15.75">
      <c r="B69" s="7" t="s">
        <v>283</v>
      </c>
      <c r="E69" s="337">
        <v>2</v>
      </c>
      <c r="F69" s="337" t="s">
        <v>2</v>
      </c>
      <c r="G69">
        <f>G62</f>
        <v>1530</v>
      </c>
      <c r="H69" s="337" t="s">
        <v>2</v>
      </c>
      <c r="I69" s="2">
        <v>0.75</v>
      </c>
      <c r="L69" s="268" t="s">
        <v>21</v>
      </c>
      <c r="M69" s="132">
        <f>E69*G69*I69</f>
        <v>2295</v>
      </c>
      <c r="N69" s="6" t="s">
        <v>8</v>
      </c>
    </row>
    <row r="70" spans="1:15" ht="15.75">
      <c r="B70" s="7" t="s">
        <v>145</v>
      </c>
      <c r="E70" s="337">
        <v>2</v>
      </c>
      <c r="F70" s="337" t="s">
        <v>2</v>
      </c>
      <c r="G70">
        <f>G63</f>
        <v>9350</v>
      </c>
      <c r="H70" s="337" t="s">
        <v>2</v>
      </c>
      <c r="I70" s="2">
        <v>0.5</v>
      </c>
      <c r="L70" s="268" t="s">
        <v>21</v>
      </c>
      <c r="M70" s="132">
        <f>E70*G70*I70</f>
        <v>9350</v>
      </c>
      <c r="N70" s="6" t="s">
        <v>8</v>
      </c>
    </row>
    <row r="71" spans="1:15" ht="15.75">
      <c r="A71" s="679"/>
      <c r="B71" s="7" t="s">
        <v>622</v>
      </c>
      <c r="C71" s="679"/>
      <c r="E71" s="679">
        <v>2</v>
      </c>
      <c r="F71" s="679" t="s">
        <v>2</v>
      </c>
      <c r="G71">
        <f>G64</f>
        <v>1050</v>
      </c>
      <c r="H71" s="679" t="s">
        <v>2</v>
      </c>
      <c r="I71" s="2">
        <v>0.5</v>
      </c>
      <c r="L71" s="691" t="s">
        <v>21</v>
      </c>
      <c r="M71" s="695">
        <f>E71*G71*I71</f>
        <v>1050</v>
      </c>
      <c r="N71" s="6" t="s">
        <v>8</v>
      </c>
    </row>
    <row r="72" spans="1:15" ht="15.75">
      <c r="B72" s="7"/>
      <c r="L72" s="337"/>
      <c r="M72" s="178">
        <f>SUM(M69:M71)</f>
        <v>12695</v>
      </c>
      <c r="N72" s="6" t="s">
        <v>8</v>
      </c>
    </row>
    <row r="73" spans="1:15" s="354" customFormat="1" ht="15">
      <c r="A73" s="353"/>
      <c r="B73" s="957">
        <f>M72</f>
        <v>12695</v>
      </c>
      <c r="C73" s="957"/>
      <c r="D73" s="957"/>
      <c r="E73" s="957"/>
      <c r="F73" s="354" t="s">
        <v>8</v>
      </c>
      <c r="J73" s="355" t="s">
        <v>17</v>
      </c>
      <c r="K73" s="958">
        <v>8340</v>
      </c>
      <c r="L73" s="958"/>
      <c r="M73" s="354" t="s">
        <v>7</v>
      </c>
      <c r="N73" s="354" t="s">
        <v>16</v>
      </c>
      <c r="O73" s="356">
        <f>B73*K73/100</f>
        <v>1058763</v>
      </c>
    </row>
    <row r="74" spans="1:15" ht="15.75">
      <c r="A74" s="337">
        <v>9</v>
      </c>
      <c r="B74" s="7" t="s">
        <v>289</v>
      </c>
    </row>
    <row r="75" spans="1:15" ht="15.75">
      <c r="B75" s="7" t="s">
        <v>290</v>
      </c>
    </row>
    <row r="76" spans="1:15" ht="15.75">
      <c r="B76" s="73" t="s">
        <v>291</v>
      </c>
    </row>
    <row r="77" spans="1:15" ht="15.75">
      <c r="B77" s="7" t="s">
        <v>283</v>
      </c>
      <c r="E77">
        <v>2</v>
      </c>
      <c r="F77" t="s">
        <v>2</v>
      </c>
      <c r="G77">
        <f>G69</f>
        <v>1530</v>
      </c>
      <c r="H77" t="s">
        <v>2</v>
      </c>
      <c r="I77" s="2">
        <v>5</v>
      </c>
      <c r="J77" s="6" t="s">
        <v>2</v>
      </c>
      <c r="K77" s="2">
        <f>I69</f>
        <v>0.75</v>
      </c>
      <c r="L77" s="268" t="s">
        <v>21</v>
      </c>
      <c r="M77" s="132">
        <f>E77*G77*I77*K77</f>
        <v>11475</v>
      </c>
      <c r="N77" s="6" t="s">
        <v>6</v>
      </c>
    </row>
    <row r="78" spans="1:15" ht="15.75">
      <c r="B78" s="7" t="s">
        <v>145</v>
      </c>
      <c r="E78">
        <v>2</v>
      </c>
      <c r="F78" t="s">
        <v>2</v>
      </c>
      <c r="G78">
        <f>G70</f>
        <v>9350</v>
      </c>
      <c r="H78" t="s">
        <v>2</v>
      </c>
      <c r="I78" s="2">
        <v>4</v>
      </c>
      <c r="J78" s="6" t="s">
        <v>2</v>
      </c>
      <c r="K78" s="2">
        <f>I70</f>
        <v>0.5</v>
      </c>
      <c r="L78" s="268" t="s">
        <v>21</v>
      </c>
      <c r="M78" s="132">
        <f>E78*G78*I78*K78</f>
        <v>37400</v>
      </c>
      <c r="N78" s="6" t="s">
        <v>6</v>
      </c>
    </row>
    <row r="79" spans="1:15" ht="15.75">
      <c r="A79" s="679"/>
      <c r="B79" s="7" t="s">
        <v>622</v>
      </c>
      <c r="C79" s="679"/>
      <c r="E79">
        <v>2</v>
      </c>
      <c r="F79" t="s">
        <v>2</v>
      </c>
      <c r="G79">
        <f>G71</f>
        <v>1050</v>
      </c>
      <c r="H79" t="s">
        <v>2</v>
      </c>
      <c r="I79" s="2">
        <v>3</v>
      </c>
      <c r="J79" s="6" t="s">
        <v>2</v>
      </c>
      <c r="K79" s="2">
        <f>I71</f>
        <v>0.5</v>
      </c>
      <c r="L79" s="691" t="s">
        <v>21</v>
      </c>
      <c r="M79" s="695">
        <f>E79*G79*I79*K79</f>
        <v>3150</v>
      </c>
      <c r="N79" s="6" t="s">
        <v>6</v>
      </c>
    </row>
    <row r="80" spans="1:15" ht="15.75">
      <c r="B80" s="7"/>
      <c r="I80" s="2"/>
      <c r="J80" s="6"/>
      <c r="K80" s="2"/>
      <c r="L80" s="268"/>
      <c r="M80" s="132">
        <f>SUM(M77:M79)</f>
        <v>52025</v>
      </c>
      <c r="N80" s="6"/>
    </row>
    <row r="81" spans="1:18" s="3" customFormat="1">
      <c r="A81" s="342"/>
      <c r="B81" s="946">
        <f>M80</f>
        <v>52025</v>
      </c>
      <c r="C81" s="946"/>
      <c r="D81" s="946"/>
      <c r="E81" s="946"/>
      <c r="F81" s="3" t="s">
        <v>6</v>
      </c>
      <c r="J81" s="266" t="s">
        <v>17</v>
      </c>
      <c r="K81" s="948">
        <v>543</v>
      </c>
      <c r="L81" s="948"/>
      <c r="M81" s="3" t="s">
        <v>12</v>
      </c>
      <c r="N81" s="3" t="s">
        <v>16</v>
      </c>
      <c r="O81" s="8">
        <f>B81*K81/100</f>
        <v>282495.75</v>
      </c>
    </row>
    <row r="83" spans="1:18" ht="15.75">
      <c r="A83" s="337">
        <v>10</v>
      </c>
      <c r="B83" s="7" t="s">
        <v>292</v>
      </c>
    </row>
    <row r="84" spans="1:18" ht="15.75">
      <c r="B84" s="7" t="s">
        <v>293</v>
      </c>
    </row>
    <row r="85" spans="1:18" ht="15.75">
      <c r="B85" s="73" t="s">
        <v>294</v>
      </c>
    </row>
    <row r="86" spans="1:18" ht="15.75">
      <c r="B86" s="7" t="s">
        <v>283</v>
      </c>
      <c r="E86">
        <v>1</v>
      </c>
      <c r="F86" t="s">
        <v>2</v>
      </c>
      <c r="G86" s="337">
        <f>G77</f>
        <v>1530</v>
      </c>
      <c r="H86" t="s">
        <v>2</v>
      </c>
      <c r="I86" s="215">
        <v>5</v>
      </c>
      <c r="J86" s="26" t="s">
        <v>2</v>
      </c>
      <c r="K86" s="338">
        <v>0.75</v>
      </c>
      <c r="L86" s="268" t="s">
        <v>21</v>
      </c>
      <c r="M86" s="132">
        <f>G86*I86*K86</f>
        <v>5737.5</v>
      </c>
      <c r="N86" s="6" t="s">
        <v>6</v>
      </c>
    </row>
    <row r="87" spans="1:18" ht="15.75">
      <c r="B87" s="7" t="s">
        <v>145</v>
      </c>
      <c r="E87">
        <v>1</v>
      </c>
      <c r="F87" t="s">
        <v>2</v>
      </c>
      <c r="G87" s="337">
        <f>G78</f>
        <v>9350</v>
      </c>
      <c r="H87" t="s">
        <v>2</v>
      </c>
      <c r="I87" s="215">
        <v>4</v>
      </c>
      <c r="J87" s="26" t="s">
        <v>2</v>
      </c>
      <c r="K87" s="338">
        <v>0.75</v>
      </c>
      <c r="L87" s="268" t="s">
        <v>21</v>
      </c>
      <c r="M87" s="132">
        <f>G87*I87*K87</f>
        <v>28050</v>
      </c>
      <c r="N87" s="6" t="s">
        <v>6</v>
      </c>
    </row>
    <row r="88" spans="1:18" ht="15.75">
      <c r="A88" s="679"/>
      <c r="B88" s="7" t="s">
        <v>622</v>
      </c>
      <c r="C88" s="679"/>
      <c r="E88">
        <v>1</v>
      </c>
      <c r="F88" t="s">
        <v>2</v>
      </c>
      <c r="G88" s="679">
        <f>G79</f>
        <v>1050</v>
      </c>
      <c r="H88" t="s">
        <v>2</v>
      </c>
      <c r="I88" s="215">
        <v>3</v>
      </c>
      <c r="J88" s="26" t="s">
        <v>2</v>
      </c>
      <c r="K88" s="678">
        <v>0.5</v>
      </c>
      <c r="L88" s="691" t="s">
        <v>21</v>
      </c>
      <c r="M88" s="695">
        <f>G88*I88*K88</f>
        <v>1575</v>
      </c>
      <c r="N88" s="6" t="s">
        <v>6</v>
      </c>
    </row>
    <row r="89" spans="1:18" ht="15.75">
      <c r="B89" s="7"/>
      <c r="L89" s="337"/>
      <c r="M89" s="178">
        <f>SUM(M86:M88)</f>
        <v>35362.5</v>
      </c>
      <c r="N89" s="6" t="s">
        <v>6</v>
      </c>
    </row>
    <row r="90" spans="1:18" s="3" customFormat="1">
      <c r="A90" s="342"/>
      <c r="B90" s="946">
        <f>M89</f>
        <v>35362.5</v>
      </c>
      <c r="C90" s="946"/>
      <c r="D90" s="946"/>
      <c r="E90" s="946"/>
      <c r="F90" s="3" t="s">
        <v>6</v>
      </c>
      <c r="J90" s="266" t="s">
        <v>17</v>
      </c>
      <c r="K90" s="948">
        <v>3100</v>
      </c>
      <c r="L90" s="948"/>
      <c r="M90" s="153" t="s">
        <v>12</v>
      </c>
      <c r="N90" s="3" t="s">
        <v>16</v>
      </c>
      <c r="O90" s="8">
        <f>B90*K90/100</f>
        <v>1096237.5</v>
      </c>
    </row>
    <row r="92" spans="1:18" ht="15.75">
      <c r="A92" s="337">
        <v>11</v>
      </c>
      <c r="B92" s="7" t="s">
        <v>263</v>
      </c>
    </row>
    <row r="93" spans="1:18" ht="15.75">
      <c r="B93" s="7" t="s">
        <v>264</v>
      </c>
    </row>
    <row r="94" spans="1:18" ht="15.75">
      <c r="B94" s="7" t="s">
        <v>265</v>
      </c>
      <c r="K94" s="193"/>
      <c r="L94" s="193"/>
    </row>
    <row r="95" spans="1:18" s="45" customFormat="1" ht="15.75">
      <c r="A95" s="350"/>
      <c r="B95" s="357" t="s">
        <v>295</v>
      </c>
      <c r="C95" s="943">
        <f>G77</f>
        <v>1530</v>
      </c>
      <c r="D95" s="943"/>
      <c r="E95" s="943"/>
      <c r="F95" s="45" t="s">
        <v>10</v>
      </c>
      <c r="J95" s="351" t="s">
        <v>17</v>
      </c>
      <c r="K95" s="955">
        <v>869</v>
      </c>
      <c r="L95" s="955"/>
      <c r="M95" s="45" t="s">
        <v>70</v>
      </c>
      <c r="N95" s="45" t="s">
        <v>16</v>
      </c>
      <c r="O95" s="46">
        <f>C95*K95</f>
        <v>1329570</v>
      </c>
    </row>
    <row r="96" spans="1:18" s="45" customFormat="1">
      <c r="A96" s="350"/>
      <c r="B96" s="358" t="s">
        <v>194</v>
      </c>
      <c r="C96" s="943">
        <f>G87</f>
        <v>9350</v>
      </c>
      <c r="D96" s="943"/>
      <c r="E96" s="943"/>
      <c r="F96" s="45" t="s">
        <v>10</v>
      </c>
      <c r="J96" s="351" t="s">
        <v>17</v>
      </c>
      <c r="K96" s="955">
        <v>618</v>
      </c>
      <c r="L96" s="955"/>
      <c r="M96" s="45" t="s">
        <v>70</v>
      </c>
      <c r="N96" s="45" t="s">
        <v>16</v>
      </c>
      <c r="O96" s="46">
        <f>C96*K96</f>
        <v>5778300</v>
      </c>
      <c r="R96" s="358">
        <f>C95+C96+C97</f>
        <v>11930</v>
      </c>
    </row>
    <row r="97" spans="1:18" s="45" customFormat="1">
      <c r="A97" s="350"/>
      <c r="B97" s="358" t="s">
        <v>261</v>
      </c>
      <c r="C97" s="943">
        <f>G88</f>
        <v>1050</v>
      </c>
      <c r="D97" s="943"/>
      <c r="E97" s="943"/>
      <c r="F97" s="45" t="s">
        <v>10</v>
      </c>
      <c r="J97" s="693" t="s">
        <v>17</v>
      </c>
      <c r="K97" s="955">
        <v>412</v>
      </c>
      <c r="L97" s="955"/>
      <c r="M97" s="45" t="s">
        <v>70</v>
      </c>
      <c r="N97" s="45" t="s">
        <v>16</v>
      </c>
      <c r="O97" s="46">
        <f>C97*K97</f>
        <v>432600</v>
      </c>
    </row>
    <row r="98" spans="1:18">
      <c r="R98" s="686">
        <f>R96/50</f>
        <v>238.6</v>
      </c>
    </row>
    <row r="99" spans="1:18" ht="15.75">
      <c r="A99" s="337">
        <v>12</v>
      </c>
      <c r="B99" s="7" t="s">
        <v>267</v>
      </c>
    </row>
    <row r="100" spans="1:18" ht="15.75">
      <c r="B100" s="7" t="s">
        <v>268</v>
      </c>
    </row>
    <row r="101" spans="1:18" ht="15.75">
      <c r="B101" s="7"/>
      <c r="E101">
        <v>1</v>
      </c>
      <c r="F101" t="s">
        <v>2</v>
      </c>
      <c r="G101" s="912">
        <v>121500</v>
      </c>
      <c r="H101" s="913"/>
      <c r="J101" s="6" t="s">
        <v>2</v>
      </c>
      <c r="K101" s="304">
        <v>0.9</v>
      </c>
      <c r="L101" s="337" t="s">
        <v>21</v>
      </c>
      <c r="M101" s="132">
        <f>G101*90/100</f>
        <v>109350</v>
      </c>
      <c r="N101" s="6" t="s">
        <v>6</v>
      </c>
    </row>
    <row r="102" spans="1:18" s="3" customFormat="1">
      <c r="A102" s="342"/>
      <c r="B102" s="946">
        <f>M101</f>
        <v>109350</v>
      </c>
      <c r="C102" s="946"/>
      <c r="D102" s="946"/>
      <c r="E102" s="946"/>
      <c r="F102" s="3" t="s">
        <v>6</v>
      </c>
      <c r="J102" s="266" t="s">
        <v>17</v>
      </c>
      <c r="K102" s="952">
        <v>2760</v>
      </c>
      <c r="L102" s="952"/>
      <c r="M102" s="3" t="s">
        <v>1</v>
      </c>
      <c r="N102" s="3" t="s">
        <v>16</v>
      </c>
      <c r="O102" s="8">
        <f>B102*K102/1000</f>
        <v>301806</v>
      </c>
    </row>
    <row r="103" spans="1:18">
      <c r="B103" s="343"/>
      <c r="C103" s="343"/>
      <c r="D103" s="343"/>
      <c r="E103" s="343"/>
      <c r="F103" s="6"/>
      <c r="J103" s="346"/>
      <c r="K103" s="344"/>
      <c r="L103" s="344"/>
      <c r="M103" s="6"/>
      <c r="O103" s="10"/>
    </row>
    <row r="104" spans="1:18">
      <c r="B104" s="343"/>
      <c r="C104" s="343"/>
      <c r="D104" s="343"/>
      <c r="E104" s="343"/>
      <c r="F104" s="6"/>
      <c r="J104" s="346"/>
      <c r="K104" s="344"/>
      <c r="L104" s="344"/>
      <c r="M104" s="6"/>
      <c r="O104" s="10"/>
    </row>
    <row r="105" spans="1:18">
      <c r="A105" s="679"/>
      <c r="B105" s="956" t="s">
        <v>624</v>
      </c>
      <c r="C105" s="956"/>
      <c r="D105" s="956"/>
      <c r="E105" s="682"/>
      <c r="F105" s="6"/>
      <c r="J105" s="696"/>
      <c r="K105" s="683"/>
      <c r="L105" s="683"/>
      <c r="M105" s="6"/>
      <c r="O105" s="10"/>
    </row>
    <row r="106" spans="1:18" s="6" customFormat="1" ht="15.75">
      <c r="A106" s="23">
        <v>13</v>
      </c>
      <c r="B106" s="7" t="s">
        <v>296</v>
      </c>
      <c r="C106" s="268"/>
      <c r="D106" s="268"/>
      <c r="E106" s="268"/>
      <c r="F106" s="268"/>
      <c r="G106" s="268"/>
      <c r="H106" s="268"/>
      <c r="I106" s="268"/>
      <c r="J106" s="268"/>
      <c r="K106" s="268"/>
      <c r="O106" s="25"/>
    </row>
    <row r="107" spans="1:18" s="6" customFormat="1" ht="15.75">
      <c r="A107" s="23"/>
      <c r="B107" s="7" t="s">
        <v>297</v>
      </c>
      <c r="C107" s="268"/>
      <c r="D107" s="268"/>
      <c r="E107" s="268"/>
      <c r="F107" s="268"/>
      <c r="G107" s="268"/>
      <c r="H107" s="268"/>
      <c r="I107" s="268"/>
      <c r="J107" s="268"/>
      <c r="K107" s="268"/>
      <c r="O107" s="25"/>
    </row>
    <row r="108" spans="1:18" s="6" customFormat="1" ht="15.75">
      <c r="A108" s="23"/>
      <c r="B108" s="7" t="s">
        <v>298</v>
      </c>
      <c r="C108" s="268"/>
      <c r="D108" s="268"/>
      <c r="E108" s="268"/>
      <c r="F108" s="268"/>
      <c r="G108" s="268"/>
      <c r="H108" s="268"/>
      <c r="I108" s="268"/>
      <c r="J108" s="268"/>
      <c r="K108" s="268"/>
      <c r="O108" s="25"/>
    </row>
    <row r="109" spans="1:18" s="6" customFormat="1" ht="15.75">
      <c r="A109" s="23"/>
      <c r="B109" s="7" t="s">
        <v>299</v>
      </c>
      <c r="C109" s="268"/>
      <c r="D109" s="268"/>
      <c r="E109" s="268"/>
      <c r="F109" s="268"/>
      <c r="G109" s="268"/>
      <c r="H109" s="268"/>
      <c r="I109" s="268"/>
      <c r="J109" s="268"/>
      <c r="K109" s="268"/>
      <c r="O109" s="25"/>
    </row>
    <row r="110" spans="1:18" s="6" customFormat="1" ht="15.75">
      <c r="A110" s="23"/>
      <c r="B110" s="7" t="s">
        <v>300</v>
      </c>
      <c r="C110" s="230">
        <f>R98</f>
        <v>238.6</v>
      </c>
      <c r="D110" s="691" t="s">
        <v>2</v>
      </c>
      <c r="E110" s="6">
        <v>0.78500000000000003</v>
      </c>
      <c r="F110" s="6" t="s">
        <v>2</v>
      </c>
      <c r="G110" s="268">
        <v>6</v>
      </c>
      <c r="H110" s="6" t="s">
        <v>2</v>
      </c>
      <c r="I110" s="268">
        <v>6</v>
      </c>
      <c r="J110" s="6" t="s">
        <v>2</v>
      </c>
      <c r="K110" s="690">
        <v>8.5</v>
      </c>
      <c r="L110" s="6" t="s">
        <v>3</v>
      </c>
      <c r="M110" s="26">
        <f>K110*I110*G110*E110*C110</f>
        <v>57314.106</v>
      </c>
      <c r="N110" s="6" t="s">
        <v>6</v>
      </c>
      <c r="O110" s="25"/>
    </row>
    <row r="111" spans="1:18" s="6" customFormat="1" ht="15.75">
      <c r="A111" s="23"/>
      <c r="B111" s="7"/>
      <c r="C111" s="230"/>
      <c r="G111" s="268"/>
      <c r="I111" s="268"/>
      <c r="M111" s="56">
        <f>SUM(M110:M110)</f>
        <v>57314.106</v>
      </c>
      <c r="Q111" s="25"/>
    </row>
    <row r="112" spans="1:18" s="3" customFormat="1">
      <c r="A112" s="359"/>
      <c r="C112" s="946">
        <f>M111</f>
        <v>57314.106</v>
      </c>
      <c r="D112" s="946"/>
      <c r="E112" s="946"/>
      <c r="F112" s="946"/>
      <c r="G112" s="3" t="s">
        <v>6</v>
      </c>
      <c r="J112" s="266" t="s">
        <v>11</v>
      </c>
      <c r="K112" s="948">
        <v>3176.25</v>
      </c>
      <c r="L112" s="948"/>
      <c r="M112" s="3" t="s">
        <v>1</v>
      </c>
      <c r="N112" s="3" t="s">
        <v>5</v>
      </c>
      <c r="O112" s="8">
        <f>C112*K112/1000</f>
        <v>182043.9291825</v>
      </c>
    </row>
    <row r="113" spans="1:17" s="6" customFormat="1">
      <c r="A113" s="23"/>
      <c r="C113" s="212"/>
      <c r="D113" s="345"/>
      <c r="E113" s="345"/>
      <c r="F113" s="345"/>
      <c r="J113" s="346"/>
      <c r="K113" s="27"/>
      <c r="L113" s="27"/>
      <c r="O113" s="28"/>
    </row>
    <row r="114" spans="1:17">
      <c r="A114" s="337">
        <v>14</v>
      </c>
      <c r="B114" s="6" t="s">
        <v>301</v>
      </c>
      <c r="D114" s="679"/>
    </row>
    <row r="115" spans="1:17" ht="15.75">
      <c r="A115" s="23"/>
      <c r="B115" s="7" t="s">
        <v>300</v>
      </c>
      <c r="C115" s="230">
        <f>C110</f>
        <v>238.6</v>
      </c>
      <c r="D115" s="691" t="s">
        <v>2</v>
      </c>
      <c r="E115" s="6">
        <v>0.78500000000000003</v>
      </c>
      <c r="F115" s="6" t="s">
        <v>2</v>
      </c>
      <c r="G115" s="268">
        <v>6</v>
      </c>
      <c r="H115" s="6" t="s">
        <v>2</v>
      </c>
      <c r="I115" s="268">
        <v>6</v>
      </c>
      <c r="J115" s="6" t="s">
        <v>2</v>
      </c>
      <c r="K115" s="347">
        <v>3</v>
      </c>
      <c r="L115" s="6" t="s">
        <v>3</v>
      </c>
      <c r="M115" s="26">
        <f>K115*I115*G115*E115*C115</f>
        <v>20228.507999999998</v>
      </c>
      <c r="N115" s="6" t="s">
        <v>6</v>
      </c>
    </row>
    <row r="116" spans="1:17" s="6" customFormat="1" ht="15.75">
      <c r="A116" s="23"/>
      <c r="B116" s="7"/>
      <c r="C116" s="230"/>
      <c r="G116" s="268"/>
      <c r="H116" s="268"/>
      <c r="I116" s="268"/>
      <c r="J116" s="268"/>
      <c r="K116" s="268"/>
      <c r="M116" s="56">
        <f>SUM(M115:M115)</f>
        <v>20228.507999999998</v>
      </c>
      <c r="Q116" s="25"/>
    </row>
    <row r="117" spans="1:17" s="3" customFormat="1">
      <c r="A117" s="359"/>
      <c r="C117" s="946">
        <f>M116</f>
        <v>20228.507999999998</v>
      </c>
      <c r="D117" s="946"/>
      <c r="E117" s="946"/>
      <c r="F117" s="946"/>
      <c r="G117" s="3" t="s">
        <v>6</v>
      </c>
      <c r="J117" s="266" t="s">
        <v>11</v>
      </c>
      <c r="K117" s="948">
        <v>1058.75</v>
      </c>
      <c r="L117" s="948"/>
      <c r="M117" s="3" t="s">
        <v>1</v>
      </c>
      <c r="N117" s="3" t="s">
        <v>5</v>
      </c>
      <c r="O117" s="8">
        <f>C117*K117/1000</f>
        <v>21416.932844999999</v>
      </c>
    </row>
    <row r="118" spans="1:17" s="6" customFormat="1">
      <c r="A118" s="23"/>
      <c r="C118" s="212"/>
      <c r="D118" s="345"/>
      <c r="E118" s="345"/>
      <c r="F118" s="345"/>
      <c r="J118" s="346"/>
      <c r="K118" s="27"/>
      <c r="L118" s="27"/>
      <c r="O118" s="28"/>
    </row>
    <row r="119" spans="1:17">
      <c r="A119" s="337">
        <v>15</v>
      </c>
      <c r="B119" s="6" t="s">
        <v>302</v>
      </c>
    </row>
    <row r="120" spans="1:17" s="6" customFormat="1" ht="15.75">
      <c r="A120" s="23"/>
      <c r="B120" s="7"/>
      <c r="C120" s="230">
        <f>C115</f>
        <v>238.6</v>
      </c>
      <c r="D120" s="691" t="s">
        <v>2</v>
      </c>
      <c r="E120" s="6">
        <f>E110</f>
        <v>0.78500000000000003</v>
      </c>
      <c r="F120" s="6" t="s">
        <v>2</v>
      </c>
      <c r="G120" s="268">
        <f>G110</f>
        <v>6</v>
      </c>
      <c r="H120" s="268" t="s">
        <v>2</v>
      </c>
      <c r="I120" s="268">
        <f>G120</f>
        <v>6</v>
      </c>
      <c r="J120" s="268" t="s">
        <v>2</v>
      </c>
      <c r="K120" s="268">
        <v>0.75</v>
      </c>
      <c r="L120" s="6" t="s">
        <v>3</v>
      </c>
      <c r="M120" s="26">
        <v>1836</v>
      </c>
      <c r="N120" s="6" t="s">
        <v>6</v>
      </c>
      <c r="Q120" s="25"/>
    </row>
    <row r="121" spans="1:17" s="3" customFormat="1">
      <c r="A121" s="359"/>
      <c r="C121" s="946">
        <f>M120</f>
        <v>1836</v>
      </c>
      <c r="D121" s="946"/>
      <c r="E121" s="946"/>
      <c r="F121" s="946"/>
      <c r="G121" s="3" t="s">
        <v>6</v>
      </c>
      <c r="J121" s="266" t="s">
        <v>11</v>
      </c>
      <c r="K121" s="948">
        <v>2420</v>
      </c>
      <c r="L121" s="948"/>
      <c r="M121" s="3" t="s">
        <v>1</v>
      </c>
      <c r="N121" s="3" t="s">
        <v>5</v>
      </c>
      <c r="O121" s="8">
        <f>C121*K121/1000</f>
        <v>4443.12</v>
      </c>
    </row>
    <row r="122" spans="1:17" ht="15.75">
      <c r="A122" s="337">
        <v>16</v>
      </c>
      <c r="B122" s="7" t="s">
        <v>303</v>
      </c>
    </row>
    <row r="123" spans="1:17" ht="15.75">
      <c r="B123" s="7" t="s">
        <v>304</v>
      </c>
    </row>
    <row r="124" spans="1:17" ht="15.75">
      <c r="B124" s="7" t="s">
        <v>305</v>
      </c>
    </row>
    <row r="125" spans="1:17" ht="15.75">
      <c r="B125" s="7" t="s">
        <v>300</v>
      </c>
      <c r="C125" s="230">
        <f>C110</f>
        <v>238.6</v>
      </c>
      <c r="D125" s="691" t="s">
        <v>2</v>
      </c>
      <c r="E125" s="6">
        <v>0.78500000000000003</v>
      </c>
      <c r="F125" s="6" t="s">
        <v>2</v>
      </c>
      <c r="G125" s="268">
        <v>6</v>
      </c>
      <c r="H125" s="6" t="s">
        <v>2</v>
      </c>
      <c r="I125" s="268">
        <v>6</v>
      </c>
      <c r="J125" s="6" t="s">
        <v>2</v>
      </c>
      <c r="K125" s="212">
        <v>0.5</v>
      </c>
      <c r="L125" s="6" t="s">
        <v>3</v>
      </c>
      <c r="M125" s="26">
        <f>K125*I125*G125*E125*C125</f>
        <v>3371.4180000000001</v>
      </c>
      <c r="N125" s="6" t="s">
        <v>6</v>
      </c>
    </row>
    <row r="126" spans="1:17" s="6" customFormat="1" ht="15.75">
      <c r="A126" s="23"/>
      <c r="B126" s="7"/>
      <c r="C126" s="230"/>
      <c r="E126" s="360"/>
      <c r="G126" s="230"/>
      <c r="H126" s="268"/>
      <c r="I126" s="230"/>
      <c r="J126" s="268"/>
      <c r="K126" s="268"/>
      <c r="M126" s="56">
        <f>SUM(M125:M125)</f>
        <v>3371.4180000000001</v>
      </c>
      <c r="Q126" s="25"/>
    </row>
    <row r="127" spans="1:17" s="45" customFormat="1">
      <c r="A127" s="350"/>
      <c r="B127" s="358"/>
      <c r="C127" s="943">
        <f>M126</f>
        <v>3371.4180000000001</v>
      </c>
      <c r="D127" s="943"/>
      <c r="E127" s="943"/>
      <c r="F127" s="45" t="s">
        <v>6</v>
      </c>
      <c r="J127" s="351" t="s">
        <v>17</v>
      </c>
      <c r="K127" s="953">
        <v>11288.75</v>
      </c>
      <c r="L127" s="953"/>
      <c r="M127" s="45" t="s">
        <v>12</v>
      </c>
      <c r="N127" s="45" t="s">
        <v>16</v>
      </c>
      <c r="O127" s="46">
        <f>C127*K127/100</f>
        <v>380590.94947499997</v>
      </c>
    </row>
    <row r="128" spans="1:17" ht="15.75">
      <c r="A128" s="337">
        <v>17</v>
      </c>
      <c r="B128" s="7" t="s">
        <v>303</v>
      </c>
      <c r="C128" s="268"/>
      <c r="D128" s="6"/>
      <c r="E128" s="6"/>
    </row>
    <row r="129" spans="1:17" ht="15.75">
      <c r="B129" s="7" t="s">
        <v>304</v>
      </c>
      <c r="C129" s="268"/>
      <c r="D129" s="6"/>
      <c r="E129" s="6"/>
    </row>
    <row r="130" spans="1:17" ht="15.75">
      <c r="B130" s="7" t="s">
        <v>306</v>
      </c>
      <c r="C130" s="268"/>
      <c r="D130" s="6"/>
      <c r="E130" s="6"/>
    </row>
    <row r="131" spans="1:17" s="6" customFormat="1" ht="15.75">
      <c r="A131" s="23"/>
      <c r="B131" s="7" t="s">
        <v>283</v>
      </c>
      <c r="C131" s="230">
        <f>C95/50</f>
        <v>30.6</v>
      </c>
      <c r="D131" s="6" t="s">
        <v>2</v>
      </c>
      <c r="E131" s="360">
        <v>0.78500000000000003</v>
      </c>
      <c r="F131" s="6" t="s">
        <v>2</v>
      </c>
      <c r="G131" s="230">
        <v>4</v>
      </c>
      <c r="H131" s="268" t="s">
        <v>2</v>
      </c>
      <c r="I131" s="230">
        <v>4</v>
      </c>
      <c r="J131" s="6" t="s">
        <v>2</v>
      </c>
      <c r="K131" s="26">
        <v>2</v>
      </c>
      <c r="L131" s="6" t="s">
        <v>3</v>
      </c>
      <c r="M131" s="26">
        <f>K131*I131*G131*E131*C131</f>
        <v>768.67200000000003</v>
      </c>
      <c r="N131" s="6" t="s">
        <v>6</v>
      </c>
      <c r="Q131" s="25"/>
    </row>
    <row r="132" spans="1:17" s="6" customFormat="1" ht="15.75">
      <c r="A132" s="23"/>
      <c r="B132" s="7" t="s">
        <v>145</v>
      </c>
      <c r="C132" s="230">
        <f>C96/50</f>
        <v>187</v>
      </c>
      <c r="D132" s="6" t="s">
        <v>2</v>
      </c>
      <c r="E132" s="360">
        <v>0.78500000000000003</v>
      </c>
      <c r="F132" s="6" t="s">
        <v>2</v>
      </c>
      <c r="G132" s="230">
        <v>4</v>
      </c>
      <c r="H132" s="268" t="s">
        <v>2</v>
      </c>
      <c r="I132" s="230">
        <v>4</v>
      </c>
      <c r="J132" s="6" t="s">
        <v>2</v>
      </c>
      <c r="K132" s="26">
        <v>1.5</v>
      </c>
      <c r="L132" s="6" t="s">
        <v>3</v>
      </c>
      <c r="M132" s="26">
        <f>K132*I132*G132*E132*C132</f>
        <v>3523.08</v>
      </c>
      <c r="N132" s="6" t="s">
        <v>6</v>
      </c>
      <c r="Q132" s="25"/>
    </row>
    <row r="133" spans="1:17" s="6" customFormat="1" ht="15.75">
      <c r="A133" s="23"/>
      <c r="B133" s="7" t="s">
        <v>622</v>
      </c>
      <c r="C133" s="230">
        <f>C97/50</f>
        <v>21</v>
      </c>
      <c r="D133" s="6" t="s">
        <v>2</v>
      </c>
      <c r="E133" s="360">
        <v>0.78500000000000003</v>
      </c>
      <c r="F133" s="6" t="s">
        <v>2</v>
      </c>
      <c r="G133" s="230">
        <v>4</v>
      </c>
      <c r="H133" s="691" t="s">
        <v>2</v>
      </c>
      <c r="I133" s="230">
        <v>4</v>
      </c>
      <c r="J133" s="6" t="s">
        <v>2</v>
      </c>
      <c r="K133" s="26">
        <v>1.5</v>
      </c>
      <c r="L133" s="6" t="s">
        <v>3</v>
      </c>
      <c r="M133" s="26">
        <f>K133*I133*G133*E133*C133</f>
        <v>395.64</v>
      </c>
      <c r="Q133" s="25"/>
    </row>
    <row r="134" spans="1:17" s="6" customFormat="1" ht="15.75">
      <c r="A134" s="23"/>
      <c r="B134" s="7"/>
      <c r="C134" s="230"/>
      <c r="E134" s="360"/>
      <c r="G134" s="30"/>
      <c r="I134" s="30"/>
      <c r="M134" s="56">
        <f>SUM(M131:M133)</f>
        <v>4687.3920000000007</v>
      </c>
      <c r="N134" s="6" t="s">
        <v>6</v>
      </c>
      <c r="Q134" s="25"/>
    </row>
    <row r="135" spans="1:17" s="6" customFormat="1" ht="15.75">
      <c r="A135" s="23"/>
      <c r="B135" s="7" t="s">
        <v>307</v>
      </c>
      <c r="C135" s="230"/>
      <c r="E135" s="360"/>
      <c r="G135" s="30"/>
      <c r="I135" s="30"/>
      <c r="M135" s="26"/>
      <c r="Q135" s="25"/>
    </row>
    <row r="136" spans="1:17" s="6" customFormat="1" ht="15.75">
      <c r="A136" s="23"/>
      <c r="B136" s="7" t="str">
        <f>B131</f>
        <v>24" dia</v>
      </c>
      <c r="C136" s="230"/>
      <c r="E136" s="30">
        <f>C131</f>
        <v>30.6</v>
      </c>
      <c r="F136" s="6" t="s">
        <v>2</v>
      </c>
      <c r="G136" s="230">
        <f>G131</f>
        <v>4</v>
      </c>
      <c r="H136" s="6" t="s">
        <v>2</v>
      </c>
      <c r="I136" s="26">
        <f>K131</f>
        <v>2</v>
      </c>
      <c r="J136" s="26" t="s">
        <v>2</v>
      </c>
      <c r="K136" s="26">
        <f>I136</f>
        <v>2</v>
      </c>
      <c r="L136" s="6" t="s">
        <v>21</v>
      </c>
      <c r="M136" s="26">
        <f>K136*I136*G136*E136</f>
        <v>489.6</v>
      </c>
      <c r="N136" s="6" t="s">
        <v>6</v>
      </c>
      <c r="Q136" s="25"/>
    </row>
    <row r="137" spans="1:17" s="6" customFormat="1" ht="15.75">
      <c r="A137" s="23"/>
      <c r="B137" s="7" t="str">
        <f>B132</f>
        <v>18" dia</v>
      </c>
      <c r="C137" s="230"/>
      <c r="E137" s="30">
        <f>C132</f>
        <v>187</v>
      </c>
      <c r="F137" s="6" t="s">
        <v>2</v>
      </c>
      <c r="G137" s="230">
        <f>G132</f>
        <v>4</v>
      </c>
      <c r="H137" s="6" t="s">
        <v>2</v>
      </c>
      <c r="I137" s="26">
        <f>K132</f>
        <v>1.5</v>
      </c>
      <c r="J137" s="26" t="s">
        <v>2</v>
      </c>
      <c r="K137" s="26">
        <f>I137</f>
        <v>1.5</v>
      </c>
      <c r="L137" s="6" t="s">
        <v>21</v>
      </c>
      <c r="M137" s="26">
        <f>K137*I137*G137*E137</f>
        <v>1683</v>
      </c>
      <c r="N137" s="6" t="s">
        <v>6</v>
      </c>
      <c r="Q137" s="25"/>
    </row>
    <row r="138" spans="1:17" s="6" customFormat="1" ht="15.75">
      <c r="A138" s="23"/>
      <c r="B138" s="7" t="str">
        <f>B133</f>
        <v>12" dia</v>
      </c>
      <c r="C138" s="230"/>
      <c r="E138" s="30">
        <f>C133</f>
        <v>21</v>
      </c>
      <c r="F138" s="6" t="s">
        <v>2</v>
      </c>
      <c r="G138" s="230">
        <f>G133</f>
        <v>4</v>
      </c>
      <c r="H138" s="6" t="s">
        <v>2</v>
      </c>
      <c r="I138" s="26">
        <f>K133</f>
        <v>1.5</v>
      </c>
      <c r="J138" s="26" t="s">
        <v>2</v>
      </c>
      <c r="K138" s="26">
        <f>I138</f>
        <v>1.5</v>
      </c>
      <c r="L138" s="6" t="s">
        <v>21</v>
      </c>
      <c r="M138" s="26">
        <f>K138*I138*G138*E138</f>
        <v>189</v>
      </c>
      <c r="N138" s="6" t="s">
        <v>6</v>
      </c>
      <c r="Q138" s="25"/>
    </row>
    <row r="139" spans="1:17" s="6" customFormat="1" ht="15.75">
      <c r="A139" s="23"/>
      <c r="B139" s="7"/>
      <c r="C139" s="230"/>
      <c r="E139" s="360"/>
      <c r="G139" s="30"/>
      <c r="I139" s="30"/>
      <c r="L139" s="6" t="s">
        <v>21</v>
      </c>
      <c r="M139" s="56">
        <f>SUM(M136:M138)</f>
        <v>2361.6</v>
      </c>
      <c r="N139" s="6" t="s">
        <v>6</v>
      </c>
      <c r="Q139" s="25"/>
    </row>
    <row r="140" spans="1:17" s="6" customFormat="1" ht="15.75">
      <c r="A140" s="23"/>
      <c r="B140" s="7" t="s">
        <v>43</v>
      </c>
      <c r="C140" s="230" t="s">
        <v>21</v>
      </c>
      <c r="D140" s="949">
        <f>M134</f>
        <v>4687.3920000000007</v>
      </c>
      <c r="E140" s="954"/>
      <c r="F140" s="6" t="s">
        <v>30</v>
      </c>
      <c r="G140" s="30"/>
      <c r="H140" s="949">
        <f>M139</f>
        <v>2361.6</v>
      </c>
      <c r="I140" s="954"/>
      <c r="J140" s="26" t="s">
        <v>21</v>
      </c>
      <c r="K140" s="949">
        <f>D140-H140</f>
        <v>2325.7920000000008</v>
      </c>
      <c r="L140" s="949"/>
      <c r="M140" s="56"/>
      <c r="Q140" s="25"/>
    </row>
    <row r="141" spans="1:17" s="3" customFormat="1">
      <c r="A141" s="342"/>
      <c r="B141" s="85"/>
      <c r="C141" s="946">
        <f>K140</f>
        <v>2325.7920000000008</v>
      </c>
      <c r="D141" s="947"/>
      <c r="E141" s="947"/>
      <c r="F141" s="3" t="s">
        <v>6</v>
      </c>
      <c r="J141" s="266" t="s">
        <v>17</v>
      </c>
      <c r="K141" s="948">
        <v>14429.25</v>
      </c>
      <c r="L141" s="948"/>
      <c r="M141" s="3" t="str">
        <f>M127</f>
        <v>P%Cft</v>
      </c>
      <c r="N141" s="3" t="s">
        <v>16</v>
      </c>
      <c r="O141" s="8">
        <f>C141*K141/100</f>
        <v>335594.34216000012</v>
      </c>
    </row>
    <row r="143" spans="1:17">
      <c r="A143" s="337">
        <v>18</v>
      </c>
      <c r="B143" s="225" t="s">
        <v>308</v>
      </c>
      <c r="C143" s="361"/>
      <c r="D143" s="133"/>
      <c r="E143" s="133"/>
      <c r="F143" s="133"/>
      <c r="G143" s="133"/>
      <c r="H143" s="133"/>
      <c r="I143" s="133"/>
      <c r="J143" s="133"/>
      <c r="K143" s="133"/>
    </row>
    <row r="144" spans="1:17">
      <c r="B144" t="s">
        <v>309</v>
      </c>
    </row>
    <row r="145" spans="1:17">
      <c r="B145" t="s">
        <v>310</v>
      </c>
    </row>
    <row r="146" spans="1:17">
      <c r="B146" t="s">
        <v>311</v>
      </c>
    </row>
    <row r="147" spans="1:17">
      <c r="B147" t="s">
        <v>312</v>
      </c>
    </row>
    <row r="148" spans="1:17">
      <c r="B148" t="s">
        <v>313</v>
      </c>
    </row>
    <row r="149" spans="1:17" ht="15.75">
      <c r="B149" s="7" t="s">
        <v>220</v>
      </c>
      <c r="C149" s="230">
        <f>C110</f>
        <v>238.6</v>
      </c>
      <c r="D149" s="6" t="s">
        <v>2</v>
      </c>
      <c r="E149" s="360">
        <f>E131</f>
        <v>0.78500000000000003</v>
      </c>
      <c r="F149" s="6" t="s">
        <v>2</v>
      </c>
      <c r="G149" s="212">
        <v>5.5</v>
      </c>
      <c r="H149" s="362" t="s">
        <v>2</v>
      </c>
      <c r="I149" s="212">
        <f>G149</f>
        <v>5.5</v>
      </c>
      <c r="J149" s="268" t="s">
        <v>2</v>
      </c>
      <c r="K149" s="212">
        <v>0.5</v>
      </c>
      <c r="L149" s="6" t="s">
        <v>3</v>
      </c>
      <c r="M149" s="212">
        <f>K149*I149*G149*E149*C149</f>
        <v>2832.9276249999998</v>
      </c>
      <c r="N149" s="6" t="s">
        <v>6</v>
      </c>
    </row>
    <row r="150" spans="1:17" ht="15.75">
      <c r="B150" s="7" t="s">
        <v>314</v>
      </c>
      <c r="C150" s="230">
        <f>C149</f>
        <v>238.6</v>
      </c>
      <c r="D150" s="6" t="s">
        <v>2</v>
      </c>
      <c r="E150" s="26">
        <v>3.14</v>
      </c>
      <c r="F150" s="26" t="s">
        <v>2</v>
      </c>
      <c r="G150" s="26">
        <v>4.75</v>
      </c>
      <c r="H150" s="36" t="s">
        <v>2</v>
      </c>
      <c r="I150" s="212">
        <v>0.75</v>
      </c>
      <c r="J150" s="26" t="s">
        <v>2</v>
      </c>
      <c r="K150" s="212">
        <v>7</v>
      </c>
      <c r="L150" s="6" t="s">
        <v>3</v>
      </c>
      <c r="M150" s="212">
        <v>6500</v>
      </c>
      <c r="N150" s="6" t="s">
        <v>6</v>
      </c>
    </row>
    <row r="151" spans="1:17" ht="15.75">
      <c r="B151" s="7" t="s">
        <v>315</v>
      </c>
      <c r="C151" s="230">
        <f>C150</f>
        <v>238.6</v>
      </c>
      <c r="D151" s="6" t="s">
        <v>2</v>
      </c>
      <c r="E151" s="360">
        <f>E149</f>
        <v>0.78500000000000003</v>
      </c>
      <c r="F151" s="6" t="s">
        <v>2</v>
      </c>
      <c r="G151" s="212">
        <v>5.5</v>
      </c>
      <c r="H151" s="36" t="s">
        <v>2</v>
      </c>
      <c r="I151" s="212">
        <f>G151</f>
        <v>5.5</v>
      </c>
      <c r="J151" s="6" t="s">
        <v>2</v>
      </c>
      <c r="K151" s="268">
        <v>0.75</v>
      </c>
      <c r="L151" s="6" t="s">
        <v>3</v>
      </c>
      <c r="M151" s="212">
        <f>K151*I151*G151*E151*C151</f>
        <v>4249.3914374999995</v>
      </c>
      <c r="N151" s="6" t="s">
        <v>6</v>
      </c>
    </row>
    <row r="152" spans="1:17" ht="15.75">
      <c r="B152" s="7"/>
      <c r="C152" s="230"/>
      <c r="D152" s="6"/>
      <c r="E152" s="360"/>
      <c r="F152" s="6"/>
      <c r="G152" s="26"/>
      <c r="H152" s="36"/>
      <c r="I152" s="26"/>
      <c r="J152" s="6"/>
      <c r="K152" s="268"/>
      <c r="L152" s="6"/>
      <c r="M152" s="363"/>
      <c r="N152" s="265"/>
    </row>
    <row r="153" spans="1:17" ht="15.75">
      <c r="B153" s="7"/>
      <c r="C153" s="230"/>
      <c r="D153" s="6"/>
      <c r="E153" s="360"/>
      <c r="F153" s="6"/>
      <c r="G153" s="26"/>
      <c r="H153" s="36"/>
      <c r="I153" s="26"/>
      <c r="J153" s="6"/>
      <c r="K153" s="268"/>
      <c r="L153" s="6" t="s">
        <v>21</v>
      </c>
      <c r="M153" s="212">
        <f>SUM(M149:M151)</f>
        <v>13582.319062499999</v>
      </c>
      <c r="N153" s="6"/>
    </row>
    <row r="154" spans="1:17" ht="15.75">
      <c r="B154" s="7"/>
      <c r="C154" s="230"/>
      <c r="D154" s="6"/>
      <c r="E154" s="360"/>
      <c r="F154" s="6"/>
      <c r="G154" s="26"/>
      <c r="H154" s="36"/>
      <c r="I154" s="26"/>
      <c r="J154" s="6"/>
      <c r="K154" s="268"/>
      <c r="L154" s="6"/>
      <c r="M154" s="26"/>
      <c r="N154" s="6"/>
    </row>
    <row r="155" spans="1:17" ht="15.75">
      <c r="B155" s="7"/>
      <c r="C155" s="230"/>
      <c r="D155" s="6"/>
      <c r="E155" s="360"/>
      <c r="F155" s="6"/>
      <c r="G155" s="26"/>
      <c r="H155" s="36"/>
      <c r="I155" s="26"/>
      <c r="J155" s="6"/>
      <c r="K155" s="268"/>
      <c r="L155" s="6"/>
      <c r="M155" s="26"/>
      <c r="N155" s="6"/>
    </row>
    <row r="156" spans="1:17" ht="15.75">
      <c r="B156" s="7"/>
      <c r="C156" s="230"/>
      <c r="D156" s="6"/>
      <c r="E156" s="360"/>
      <c r="F156" s="6"/>
      <c r="G156" s="26"/>
      <c r="H156" s="36"/>
      <c r="I156" s="26"/>
      <c r="J156" s="6"/>
      <c r="K156" s="268"/>
      <c r="L156" s="6"/>
      <c r="M156" s="26"/>
      <c r="N156" s="6"/>
    </row>
    <row r="157" spans="1:17" s="6" customFormat="1" ht="15.75">
      <c r="A157" s="23"/>
      <c r="B157" s="7" t="s">
        <v>33</v>
      </c>
      <c r="C157" s="230"/>
      <c r="E157" s="360"/>
      <c r="G157" s="26"/>
      <c r="H157" s="26"/>
      <c r="I157" s="26"/>
      <c r="M157" s="26"/>
      <c r="Q157" s="25"/>
    </row>
    <row r="158" spans="1:17" s="6" customFormat="1">
      <c r="A158" s="23"/>
      <c r="B158" s="75" t="s">
        <v>103</v>
      </c>
      <c r="C158" s="230"/>
      <c r="E158" s="360"/>
      <c r="G158" s="26"/>
      <c r="H158" s="26"/>
      <c r="I158" s="26"/>
      <c r="M158" s="26"/>
      <c r="Q158" s="25"/>
    </row>
    <row r="159" spans="1:17" s="6" customFormat="1">
      <c r="A159" s="23"/>
      <c r="B159" s="75" t="s">
        <v>316</v>
      </c>
      <c r="C159" s="230"/>
      <c r="E159" s="360"/>
      <c r="G159" s="26"/>
      <c r="H159" s="26"/>
      <c r="I159" s="26"/>
      <c r="M159" s="26"/>
      <c r="Q159" s="25"/>
    </row>
    <row r="160" spans="1:17" s="6" customFormat="1">
      <c r="A160" s="23"/>
      <c r="B160" s="30">
        <v>2</v>
      </c>
      <c r="C160" s="230">
        <f>C131</f>
        <v>30.6</v>
      </c>
      <c r="D160" s="6" t="s">
        <v>2</v>
      </c>
      <c r="E160" s="360">
        <v>0.78500000000000003</v>
      </c>
      <c r="F160" s="6" t="s">
        <v>2</v>
      </c>
      <c r="G160" s="26">
        <v>2</v>
      </c>
      <c r="H160" s="26" t="s">
        <v>2</v>
      </c>
      <c r="I160" s="212">
        <f>G160</f>
        <v>2</v>
      </c>
      <c r="J160" s="6" t="s">
        <v>2</v>
      </c>
      <c r="K160" s="268">
        <v>0.75</v>
      </c>
      <c r="L160" s="6" t="s">
        <v>3</v>
      </c>
      <c r="M160" s="26">
        <f>B160*C160*E160*G160*I160</f>
        <v>192.16800000000001</v>
      </c>
      <c r="N160" s="6" t="s">
        <v>6</v>
      </c>
      <c r="Q160" s="25"/>
    </row>
    <row r="161" spans="1:17" s="6" customFormat="1">
      <c r="A161" s="23"/>
      <c r="B161" s="75" t="s">
        <v>317</v>
      </c>
      <c r="C161" s="230"/>
      <c r="E161" s="360"/>
      <c r="G161" s="26"/>
      <c r="H161" s="26"/>
      <c r="I161" s="212"/>
      <c r="K161" s="268"/>
      <c r="M161" s="26"/>
      <c r="Q161" s="25"/>
    </row>
    <row r="162" spans="1:17" s="6" customFormat="1">
      <c r="A162" s="23"/>
      <c r="B162" s="30">
        <v>2</v>
      </c>
      <c r="C162" s="230">
        <f>C132</f>
        <v>187</v>
      </c>
      <c r="D162" s="6" t="s">
        <v>2</v>
      </c>
      <c r="E162" s="360">
        <f>E160</f>
        <v>0.78500000000000003</v>
      </c>
      <c r="F162" s="6" t="s">
        <v>2</v>
      </c>
      <c r="G162" s="26">
        <v>2.5</v>
      </c>
      <c r="H162" s="26" t="s">
        <v>2</v>
      </c>
      <c r="I162" s="212">
        <f>G162</f>
        <v>2.5</v>
      </c>
      <c r="J162" s="6" t="s">
        <v>2</v>
      </c>
      <c r="K162" s="268">
        <v>0.75</v>
      </c>
      <c r="L162" s="6" t="s">
        <v>3</v>
      </c>
      <c r="M162" s="26">
        <f>B162*C162*E162*G162*I162</f>
        <v>1834.9375000000005</v>
      </c>
      <c r="N162" s="6" t="s">
        <v>6</v>
      </c>
      <c r="Q162" s="25"/>
    </row>
    <row r="163" spans="1:17" s="6" customFormat="1">
      <c r="A163" s="23"/>
      <c r="B163" s="75" t="s">
        <v>623</v>
      </c>
      <c r="C163" s="230"/>
      <c r="E163" s="360"/>
      <c r="G163" s="26"/>
      <c r="H163" s="26"/>
      <c r="I163" s="690"/>
      <c r="K163" s="691"/>
      <c r="M163" s="26"/>
      <c r="Q163" s="25"/>
    </row>
    <row r="164" spans="1:17" s="6" customFormat="1">
      <c r="A164" s="23"/>
      <c r="B164" s="30">
        <v>2</v>
      </c>
      <c r="C164" s="230">
        <f>C133</f>
        <v>21</v>
      </c>
      <c r="D164" s="6" t="s">
        <v>2</v>
      </c>
      <c r="E164" s="360">
        <f>E162</f>
        <v>0.78500000000000003</v>
      </c>
      <c r="F164" s="6" t="s">
        <v>2</v>
      </c>
      <c r="G164" s="26">
        <v>2</v>
      </c>
      <c r="H164" s="26" t="s">
        <v>2</v>
      </c>
      <c r="I164" s="690">
        <v>2</v>
      </c>
      <c r="J164" s="6" t="s">
        <v>2</v>
      </c>
      <c r="K164" s="691">
        <v>0.75</v>
      </c>
      <c r="L164" s="6" t="s">
        <v>3</v>
      </c>
      <c r="M164" s="26">
        <f>B164*C164*E164*G164*I164</f>
        <v>131.88</v>
      </c>
      <c r="N164" s="6" t="s">
        <v>6</v>
      </c>
      <c r="Q164" s="25"/>
    </row>
    <row r="165" spans="1:17" s="6" customFormat="1" ht="15.75">
      <c r="A165" s="23"/>
      <c r="B165" s="7"/>
      <c r="C165" s="230"/>
      <c r="E165" s="360"/>
      <c r="G165" s="26"/>
      <c r="H165" s="26"/>
      <c r="I165" s="26"/>
      <c r="K165" s="268"/>
      <c r="M165" s="56">
        <f>SUM(M160:M164)</f>
        <v>2158.9855000000007</v>
      </c>
      <c r="N165" s="6" t="s">
        <v>6</v>
      </c>
      <c r="Q165" s="25"/>
    </row>
    <row r="166" spans="1:17" s="6" customFormat="1" ht="15.75">
      <c r="A166" s="23"/>
      <c r="B166" s="7"/>
      <c r="C166" s="949">
        <f>M153</f>
        <v>13582.319062499999</v>
      </c>
      <c r="D166" s="949"/>
      <c r="E166" s="360" t="s">
        <v>318</v>
      </c>
      <c r="G166" s="949">
        <f>M165</f>
        <v>2158.9855000000007</v>
      </c>
      <c r="H166" s="949"/>
      <c r="I166" s="26"/>
      <c r="L166" s="6" t="s">
        <v>21</v>
      </c>
      <c r="M166" s="56">
        <f>C166-G166</f>
        <v>11423.333562499998</v>
      </c>
      <c r="N166" s="6" t="s">
        <v>6</v>
      </c>
      <c r="Q166" s="25"/>
    </row>
    <row r="167" spans="1:17" s="45" customFormat="1" ht="27.75" customHeight="1">
      <c r="A167" s="350"/>
      <c r="B167" s="698"/>
      <c r="C167" s="943">
        <f>M166</f>
        <v>11423.333562499998</v>
      </c>
      <c r="D167" s="943"/>
      <c r="E167" s="943"/>
      <c r="F167" s="45" t="s">
        <v>6</v>
      </c>
      <c r="J167" s="693" t="s">
        <v>17</v>
      </c>
      <c r="K167" s="950">
        <v>337</v>
      </c>
      <c r="L167" s="950"/>
      <c r="M167" s="45" t="s">
        <v>48</v>
      </c>
      <c r="N167" s="45" t="s">
        <v>16</v>
      </c>
      <c r="O167" s="46">
        <f>C167*K167</f>
        <v>3849663.4105624994</v>
      </c>
    </row>
    <row r="169" spans="1:17" ht="15.75">
      <c r="A169" s="337">
        <v>19</v>
      </c>
      <c r="B169" s="7" t="s">
        <v>319</v>
      </c>
    </row>
    <row r="170" spans="1:17" ht="15.75">
      <c r="B170" s="7" t="s">
        <v>320</v>
      </c>
    </row>
    <row r="171" spans="1:17" ht="15.75">
      <c r="B171" s="7" t="s">
        <v>321</v>
      </c>
    </row>
    <row r="172" spans="1:17">
      <c r="C172" s="912">
        <f>C167</f>
        <v>11423.333562499998</v>
      </c>
      <c r="D172" s="913"/>
      <c r="E172" s="913"/>
      <c r="F172" s="6" t="s">
        <v>2</v>
      </c>
      <c r="G172" s="2">
        <v>4.5</v>
      </c>
      <c r="I172" s="6" t="s">
        <v>31</v>
      </c>
      <c r="J172" s="337"/>
      <c r="K172" s="10">
        <v>112</v>
      </c>
      <c r="L172" s="6" t="s">
        <v>21</v>
      </c>
      <c r="M172" s="2">
        <f>(C172*G172)/K172</f>
        <v>458.97322349330352</v>
      </c>
      <c r="N172" s="6" t="s">
        <v>9</v>
      </c>
    </row>
    <row r="173" spans="1:17" s="3" customFormat="1" ht="20.25" customHeight="1">
      <c r="A173" s="342"/>
      <c r="B173" s="364"/>
      <c r="C173" s="951">
        <v>344.71</v>
      </c>
      <c r="D173" s="951"/>
      <c r="E173" s="951"/>
      <c r="F173" s="3" t="s">
        <v>9</v>
      </c>
      <c r="J173" s="266" t="s">
        <v>17</v>
      </c>
      <c r="K173" s="948">
        <v>5001.7</v>
      </c>
      <c r="L173" s="948"/>
      <c r="M173" s="3" t="s">
        <v>60</v>
      </c>
      <c r="N173" s="3" t="s">
        <v>16</v>
      </c>
      <c r="O173" s="8">
        <f>C173*K173</f>
        <v>1724136.0069999998</v>
      </c>
    </row>
    <row r="175" spans="1:17" ht="15.75">
      <c r="A175" s="337">
        <v>20</v>
      </c>
      <c r="B175" s="7" t="s">
        <v>322</v>
      </c>
      <c r="C175" s="361"/>
      <c r="D175" s="133"/>
      <c r="E175" s="133"/>
      <c r="F175" s="133"/>
      <c r="G175" s="133"/>
      <c r="H175" s="133"/>
      <c r="I175" s="133"/>
      <c r="J175" s="133"/>
      <c r="K175" s="133"/>
    </row>
    <row r="176" spans="1:17" s="6" customFormat="1" ht="15.75">
      <c r="A176" s="23"/>
      <c r="B176" s="7" t="s">
        <v>323</v>
      </c>
      <c r="C176" s="230"/>
      <c r="E176" s="360"/>
      <c r="G176" s="30"/>
      <c r="I176" s="30"/>
      <c r="M176" s="26"/>
      <c r="Q176" s="25"/>
    </row>
    <row r="177" spans="1:17" s="6" customFormat="1" ht="15.75">
      <c r="A177" s="23"/>
      <c r="B177" s="7" t="s">
        <v>324</v>
      </c>
      <c r="C177" s="230"/>
      <c r="E177" s="360" t="s">
        <v>325</v>
      </c>
      <c r="G177" s="30"/>
      <c r="I177" s="30"/>
      <c r="L177" s="6" t="s">
        <v>21</v>
      </c>
      <c r="M177" s="26">
        <v>3.75</v>
      </c>
      <c r="N177" s="6" t="s">
        <v>9</v>
      </c>
      <c r="Q177" s="25"/>
    </row>
    <row r="178" spans="1:17" s="6" customFormat="1" ht="15.75">
      <c r="A178" s="23"/>
      <c r="B178" s="7"/>
      <c r="C178" s="230">
        <f>C149</f>
        <v>238.6</v>
      </c>
      <c r="D178" s="6" t="s">
        <v>2</v>
      </c>
      <c r="E178" s="26">
        <v>1.5</v>
      </c>
      <c r="F178" s="26"/>
      <c r="G178" s="26"/>
      <c r="H178" s="26"/>
      <c r="I178" s="26"/>
      <c r="J178" s="26"/>
      <c r="K178" s="26"/>
      <c r="L178" s="6" t="s">
        <v>3</v>
      </c>
      <c r="M178" s="26">
        <f>C178*E178</f>
        <v>357.9</v>
      </c>
      <c r="N178" s="6" t="s">
        <v>9</v>
      </c>
      <c r="Q178" s="25"/>
    </row>
    <row r="179" spans="1:17" s="3" customFormat="1" ht="19.5" customHeight="1">
      <c r="A179" s="342"/>
      <c r="B179" s="364"/>
      <c r="C179" s="946">
        <f>M178</f>
        <v>357.9</v>
      </c>
      <c r="D179" s="946"/>
      <c r="E179" s="946"/>
      <c r="F179" s="3" t="s">
        <v>9</v>
      </c>
      <c r="J179" s="266" t="s">
        <v>17</v>
      </c>
      <c r="K179" s="952">
        <v>6985</v>
      </c>
      <c r="L179" s="952"/>
      <c r="M179" s="3" t="s">
        <v>60</v>
      </c>
      <c r="N179" s="3" t="s">
        <v>16</v>
      </c>
      <c r="O179" s="8">
        <f>C179*K179</f>
        <v>2499931.5</v>
      </c>
    </row>
    <row r="180" spans="1:17">
      <c r="B180" s="365"/>
      <c r="C180" s="347"/>
      <c r="D180" s="366"/>
      <c r="E180" s="366"/>
      <c r="F180" s="6"/>
      <c r="J180" s="346"/>
      <c r="K180" s="344"/>
      <c r="L180" s="344"/>
      <c r="O180" s="10"/>
    </row>
    <row r="181" spans="1:17" s="240" customFormat="1" ht="15">
      <c r="A181" s="367">
        <v>21</v>
      </c>
      <c r="B181" s="945" t="s">
        <v>326</v>
      </c>
      <c r="C181" s="945"/>
      <c r="D181" s="945"/>
      <c r="E181" s="945"/>
      <c r="F181" s="945"/>
      <c r="G181" s="945"/>
      <c r="H181" s="945"/>
      <c r="I181" s="945"/>
      <c r="J181" s="945"/>
      <c r="K181" s="945"/>
      <c r="L181" s="945"/>
      <c r="M181" s="945"/>
      <c r="N181" s="368"/>
      <c r="O181" s="241"/>
      <c r="P181" s="241"/>
      <c r="Q181" s="369"/>
    </row>
    <row r="182" spans="1:17" s="240" customFormat="1" ht="15">
      <c r="A182" s="367"/>
      <c r="B182" s="242" t="s">
        <v>327</v>
      </c>
      <c r="C182" s="370"/>
      <c r="D182" s="370"/>
      <c r="E182" s="370"/>
      <c r="M182" s="371"/>
      <c r="N182" s="368"/>
      <c r="O182" s="241"/>
      <c r="P182" s="241"/>
      <c r="Q182" s="369"/>
    </row>
    <row r="183" spans="1:17" s="240" customFormat="1" ht="15">
      <c r="A183" s="367"/>
      <c r="B183" s="242" t="s">
        <v>328</v>
      </c>
      <c r="C183" s="370"/>
      <c r="D183" s="370"/>
      <c r="E183" s="367"/>
      <c r="K183" s="367"/>
      <c r="L183" s="367"/>
      <c r="M183" s="367"/>
      <c r="N183" s="371"/>
      <c r="O183" s="368"/>
      <c r="P183" s="241"/>
      <c r="Q183" s="241"/>
    </row>
    <row r="184" spans="1:17" s="240" customFormat="1" ht="15">
      <c r="A184" s="367"/>
      <c r="B184" s="242" t="s">
        <v>329</v>
      </c>
      <c r="C184" s="370"/>
      <c r="D184" s="370"/>
      <c r="E184" s="367"/>
      <c r="K184" s="367"/>
      <c r="L184" s="367"/>
      <c r="M184" s="367"/>
      <c r="N184" s="371"/>
      <c r="O184" s="368"/>
      <c r="P184" s="241"/>
      <c r="Q184" s="241"/>
    </row>
    <row r="185" spans="1:17" s="123" customFormat="1" ht="14.25">
      <c r="A185" s="372"/>
      <c r="C185" s="372">
        <v>1</v>
      </c>
      <c r="D185" s="123" t="s">
        <v>2</v>
      </c>
      <c r="E185" s="373">
        <f>C178</f>
        <v>238.6</v>
      </c>
      <c r="J185" s="123" t="s">
        <v>21</v>
      </c>
      <c r="K185" s="374"/>
      <c r="L185" s="462">
        <f>E185</f>
        <v>238.6</v>
      </c>
    </row>
    <row r="186" spans="1:17" s="45" customFormat="1" ht="17.25" customHeight="1">
      <c r="A186" s="350"/>
      <c r="B186" s="943">
        <f>L185</f>
        <v>238.6</v>
      </c>
      <c r="C186" s="944"/>
      <c r="D186" s="944"/>
      <c r="E186" s="944"/>
      <c r="F186" s="45" t="s">
        <v>9</v>
      </c>
      <c r="K186" s="376" t="s">
        <v>213</v>
      </c>
      <c r="L186" s="352">
        <v>1051.25</v>
      </c>
      <c r="M186" s="377" t="s">
        <v>330</v>
      </c>
      <c r="N186" s="377" t="s">
        <v>16</v>
      </c>
      <c r="O186" s="46">
        <f>B186*L186</f>
        <v>250828.25</v>
      </c>
    </row>
    <row r="187" spans="1:17">
      <c r="N187" s="274"/>
      <c r="O187" s="274"/>
    </row>
    <row r="188" spans="1:17" s="45" customFormat="1">
      <c r="A188" s="350"/>
      <c r="C188" s="350"/>
      <c r="M188" s="45" t="s">
        <v>183</v>
      </c>
      <c r="N188" s="45" t="s">
        <v>5</v>
      </c>
      <c r="O188" s="378">
        <f>SUM(O5:O187)</f>
        <v>21184237.720724996</v>
      </c>
    </row>
    <row r="189" spans="1:17" ht="21.75" customHeight="1">
      <c r="B189" s="341"/>
      <c r="C189" s="342"/>
      <c r="D189" s="342"/>
      <c r="E189" s="342"/>
      <c r="G189" s="6" t="s">
        <v>331</v>
      </c>
      <c r="K189" s="339"/>
      <c r="L189" s="268" t="s">
        <v>238</v>
      </c>
      <c r="M189" s="344"/>
      <c r="N189" s="53" t="s">
        <v>5</v>
      </c>
      <c r="O189" s="8">
        <f>O188*33.7/100</f>
        <v>7139088.1118843248</v>
      </c>
    </row>
    <row r="190" spans="1:17">
      <c r="B190" s="341"/>
      <c r="C190" s="342"/>
      <c r="D190" s="342"/>
      <c r="E190" s="342"/>
      <c r="K190" s="339"/>
      <c r="L190" s="344"/>
      <c r="M190" s="344"/>
      <c r="N190" s="379"/>
      <c r="O190" s="380"/>
    </row>
    <row r="191" spans="1:17" ht="20.25" customHeight="1">
      <c r="B191" s="341"/>
      <c r="C191" s="342"/>
      <c r="D191" s="342"/>
      <c r="E191" s="342"/>
      <c r="K191" s="339"/>
      <c r="L191" s="25" t="s">
        <v>185</v>
      </c>
      <c r="M191" s="344"/>
      <c r="N191" s="53" t="s">
        <v>16</v>
      </c>
      <c r="O191" s="8">
        <f>SUM(O188:O190)</f>
        <v>28323325.832609322</v>
      </c>
    </row>
    <row r="195" spans="1:14" s="7" customFormat="1" ht="15.75">
      <c r="A195" s="942" t="s">
        <v>332</v>
      </c>
      <c r="B195" s="942"/>
      <c r="C195" s="942"/>
      <c r="D195" s="942"/>
      <c r="E195" s="942"/>
      <c r="F195" s="942"/>
      <c r="G195" s="942"/>
      <c r="H195" s="942"/>
      <c r="I195" s="942"/>
      <c r="K195" s="942" t="s">
        <v>333</v>
      </c>
      <c r="L195" s="942"/>
      <c r="M195" s="942"/>
      <c r="N195" s="942"/>
    </row>
    <row r="196" spans="1:14" s="7" customFormat="1" ht="15.75">
      <c r="A196" s="942" t="s">
        <v>334</v>
      </c>
      <c r="B196" s="942"/>
      <c r="C196" s="942"/>
      <c r="D196" s="942"/>
      <c r="E196" s="942"/>
      <c r="F196" s="942"/>
      <c r="G196" s="942"/>
      <c r="H196" s="942"/>
      <c r="I196" s="942"/>
      <c r="K196" s="942" t="s">
        <v>335</v>
      </c>
      <c r="L196" s="942"/>
      <c r="M196" s="942"/>
      <c r="N196" s="942"/>
    </row>
    <row r="197" spans="1:14" s="7" customFormat="1" ht="15.75">
      <c r="A197" s="942" t="s">
        <v>236</v>
      </c>
      <c r="B197" s="942"/>
      <c r="C197" s="942"/>
      <c r="D197" s="942"/>
      <c r="E197" s="942"/>
      <c r="F197" s="942"/>
      <c r="G197" s="942"/>
      <c r="H197" s="942"/>
      <c r="I197" s="942"/>
      <c r="K197" s="942" t="s">
        <v>236</v>
      </c>
      <c r="L197" s="942"/>
      <c r="M197" s="942"/>
      <c r="N197" s="942"/>
    </row>
  </sheetData>
  <mergeCells count="63">
    <mergeCell ref="B21:E21"/>
    <mergeCell ref="A1:O1"/>
    <mergeCell ref="A2:O2"/>
    <mergeCell ref="B5:E5"/>
    <mergeCell ref="B9:E9"/>
    <mergeCell ref="B13:E13"/>
    <mergeCell ref="B34:E34"/>
    <mergeCell ref="K34:L34"/>
    <mergeCell ref="B47:E47"/>
    <mergeCell ref="K47:L47"/>
    <mergeCell ref="B53:E53"/>
    <mergeCell ref="K53:L53"/>
    <mergeCell ref="B66:E66"/>
    <mergeCell ref="K66:L66"/>
    <mergeCell ref="B73:E73"/>
    <mergeCell ref="K73:L73"/>
    <mergeCell ref="B81:E81"/>
    <mergeCell ref="K81:L81"/>
    <mergeCell ref="C117:F117"/>
    <mergeCell ref="K117:L117"/>
    <mergeCell ref="B90:E90"/>
    <mergeCell ref="K90:L90"/>
    <mergeCell ref="C95:E95"/>
    <mergeCell ref="K95:L95"/>
    <mergeCell ref="C96:E96"/>
    <mergeCell ref="K96:L96"/>
    <mergeCell ref="G101:H101"/>
    <mergeCell ref="B102:E102"/>
    <mergeCell ref="K102:L102"/>
    <mergeCell ref="C112:F112"/>
    <mergeCell ref="K112:L112"/>
    <mergeCell ref="C97:E97"/>
    <mergeCell ref="K97:L97"/>
    <mergeCell ref="B105:D105"/>
    <mergeCell ref="C121:F121"/>
    <mergeCell ref="K121:L121"/>
    <mergeCell ref="C127:E127"/>
    <mergeCell ref="K127:L127"/>
    <mergeCell ref="D140:E140"/>
    <mergeCell ref="H140:I140"/>
    <mergeCell ref="K140:L140"/>
    <mergeCell ref="B181:M181"/>
    <mergeCell ref="C141:E141"/>
    <mergeCell ref="K141:L141"/>
    <mergeCell ref="C166:D166"/>
    <mergeCell ref="G166:H166"/>
    <mergeCell ref="C167:E167"/>
    <mergeCell ref="K167:L167"/>
    <mergeCell ref="C172:E172"/>
    <mergeCell ref="C173:E173"/>
    <mergeCell ref="K173:L173"/>
    <mergeCell ref="C179:E179"/>
    <mergeCell ref="K179:L179"/>
    <mergeCell ref="A197:E197"/>
    <mergeCell ref="F197:I197"/>
    <mergeCell ref="K197:N197"/>
    <mergeCell ref="B186:E186"/>
    <mergeCell ref="A195:E195"/>
    <mergeCell ref="F195:I195"/>
    <mergeCell ref="K195:N195"/>
    <mergeCell ref="A196:E196"/>
    <mergeCell ref="F196:I196"/>
    <mergeCell ref="K196:N196"/>
  </mergeCells>
  <pageMargins left="0.87" right="0.46" top="0.45" bottom="0.18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0000"/>
  </sheetPr>
  <dimension ref="A1:O81"/>
  <sheetViews>
    <sheetView workbookViewId="0">
      <selection activeCell="G13" sqref="G13"/>
    </sheetView>
  </sheetViews>
  <sheetFormatPr defaultRowHeight="16.5"/>
  <cols>
    <col min="1" max="1" width="4.5703125" style="384" customWidth="1"/>
    <col min="2" max="2" width="11.85546875" style="384" customWidth="1"/>
    <col min="3" max="3" width="9" style="384" customWidth="1"/>
    <col min="4" max="4" width="5.140625" style="384" customWidth="1"/>
    <col min="5" max="5" width="7.5703125" style="384" customWidth="1"/>
    <col min="6" max="6" width="9.28515625" style="384" customWidth="1"/>
    <col min="7" max="7" width="13.85546875" style="384" customWidth="1"/>
    <col min="8" max="8" width="4.28515625" style="384" customWidth="1"/>
    <col min="9" max="9" width="16.28515625" style="384" customWidth="1"/>
    <col min="10" max="10" width="3.5703125" style="384" customWidth="1"/>
    <col min="11" max="11" width="10" style="384" customWidth="1"/>
    <col min="12" max="12" width="9.85546875" style="384" customWidth="1"/>
    <col min="13" max="13" width="7.5703125" style="384" customWidth="1"/>
    <col min="14" max="14" width="3.140625" style="384" customWidth="1"/>
    <col min="15" max="15" width="9.85546875" style="384" customWidth="1"/>
    <col min="16" max="16384" width="9.140625" style="384"/>
  </cols>
  <sheetData>
    <row r="1" spans="1:15" ht="15" customHeight="1">
      <c r="A1" s="963" t="str">
        <f>'[2]FACE SHEET'!E9</f>
        <v>Detailed Working estimate for</v>
      </c>
      <c r="B1" s="963"/>
      <c r="C1" s="963"/>
      <c r="D1" s="963"/>
      <c r="E1" s="963"/>
      <c r="F1" s="963"/>
      <c r="G1" s="963"/>
      <c r="H1" s="963"/>
      <c r="I1" s="963"/>
      <c r="J1" s="861"/>
    </row>
    <row r="2" spans="1:15" ht="54.75" customHeight="1">
      <c r="A2" s="964" t="str">
        <f>BOQ!A3:O3</f>
        <v>(A)</v>
      </c>
      <c r="B2" s="964"/>
      <c r="C2" s="964"/>
      <c r="D2" s="964"/>
      <c r="E2" s="964"/>
      <c r="F2" s="964"/>
      <c r="G2" s="964"/>
      <c r="H2" s="964"/>
      <c r="I2" s="964"/>
      <c r="J2" s="862"/>
    </row>
    <row r="3" spans="1:15">
      <c r="A3" s="862"/>
      <c r="B3" s="862"/>
      <c r="C3" s="862"/>
      <c r="D3" s="862"/>
      <c r="E3" s="862"/>
      <c r="F3" s="862"/>
      <c r="G3" s="862"/>
      <c r="H3" s="862"/>
      <c r="I3" s="862"/>
      <c r="J3" s="862"/>
    </row>
    <row r="6" spans="1:15" s="849" customFormat="1" ht="17.25">
      <c r="A6" s="965" t="s">
        <v>789</v>
      </c>
      <c r="B6" s="965"/>
      <c r="C6" s="965"/>
      <c r="D6" s="965"/>
      <c r="E6" s="965"/>
      <c r="F6" s="965"/>
      <c r="G6" s="965"/>
      <c r="H6" s="965"/>
      <c r="I6" s="965"/>
      <c r="J6" s="863"/>
    </row>
    <row r="7" spans="1:15" s="849" customFormat="1" ht="17.25"/>
    <row r="8" spans="1:15" s="849" customFormat="1" ht="17.25"/>
    <row r="9" spans="1:15" s="849" customFormat="1" ht="17.25">
      <c r="A9" s="864">
        <v>1</v>
      </c>
      <c r="B9" s="849" t="s">
        <v>790</v>
      </c>
      <c r="C9" s="849" t="s">
        <v>792</v>
      </c>
      <c r="H9" s="849" t="s">
        <v>16</v>
      </c>
      <c r="I9" s="865">
        <f>'Cartage-3'!K27</f>
        <v>13112703.624950856</v>
      </c>
    </row>
    <row r="10" spans="1:15" s="849" customFormat="1" ht="17.25">
      <c r="A10" s="864"/>
      <c r="I10" s="865"/>
    </row>
    <row r="11" spans="1:15" s="849" customFormat="1" ht="17.25">
      <c r="A11" s="864">
        <v>1</v>
      </c>
      <c r="B11" s="849" t="s">
        <v>793</v>
      </c>
      <c r="C11" s="849" t="s">
        <v>796</v>
      </c>
      <c r="H11" s="849" t="s">
        <v>16</v>
      </c>
      <c r="I11" s="865" t="e">
        <f>Cartage!K31</f>
        <v>#REF!</v>
      </c>
    </row>
    <row r="12" spans="1:15" s="849" customFormat="1" ht="17.25">
      <c r="A12" s="864"/>
      <c r="I12" s="865"/>
    </row>
    <row r="13" spans="1:15" s="849" customFormat="1" ht="17.25">
      <c r="A13" s="864">
        <v>2</v>
      </c>
      <c r="B13" s="849" t="s">
        <v>794</v>
      </c>
      <c r="C13" s="849" t="s">
        <v>791</v>
      </c>
      <c r="H13" s="849" t="s">
        <v>16</v>
      </c>
      <c r="I13" s="865">
        <f>'Cartage-2 (2)'!K20</f>
        <v>1754849.3567679999</v>
      </c>
    </row>
    <row r="14" spans="1:15" s="849" customFormat="1" ht="17.25">
      <c r="A14" s="864"/>
      <c r="I14" s="865"/>
    </row>
    <row r="15" spans="1:15" s="849" customFormat="1" ht="17.25">
      <c r="G15" s="866" t="s">
        <v>185</v>
      </c>
      <c r="H15" s="867" t="s">
        <v>402</v>
      </c>
      <c r="I15" s="868" t="e">
        <f>SUM(I9:I14)</f>
        <v>#REF!</v>
      </c>
      <c r="M15" s="869"/>
      <c r="O15" s="869"/>
    </row>
    <row r="16" spans="1:15" s="849" customFormat="1" ht="17.25"/>
    <row r="17" spans="1:9" s="849" customFormat="1" ht="17.25">
      <c r="G17" s="866" t="s">
        <v>34</v>
      </c>
      <c r="H17" s="866" t="s">
        <v>402</v>
      </c>
      <c r="I17" s="870" t="s">
        <v>795</v>
      </c>
    </row>
    <row r="21" spans="1:9">
      <c r="A21" s="962" t="s">
        <v>730</v>
      </c>
      <c r="B21" s="962"/>
      <c r="C21" s="962"/>
      <c r="D21" s="962"/>
      <c r="F21" s="962" t="s">
        <v>731</v>
      </c>
      <c r="G21" s="962"/>
      <c r="H21" s="962"/>
      <c r="I21" s="962"/>
    </row>
    <row r="22" spans="1:9">
      <c r="A22" s="962" t="s">
        <v>334</v>
      </c>
      <c r="B22" s="962"/>
      <c r="C22" s="962"/>
      <c r="D22" s="962"/>
      <c r="E22" s="803"/>
      <c r="F22" s="962" t="s">
        <v>335</v>
      </c>
      <c r="G22" s="962"/>
      <c r="H22" s="962"/>
      <c r="I22" s="962"/>
    </row>
    <row r="23" spans="1:9">
      <c r="A23" s="962" t="s">
        <v>236</v>
      </c>
      <c r="B23" s="962"/>
      <c r="C23" s="962"/>
      <c r="D23" s="962"/>
      <c r="F23" s="962" t="s">
        <v>236</v>
      </c>
      <c r="G23" s="962"/>
      <c r="H23" s="962"/>
      <c r="I23" s="962"/>
    </row>
    <row r="24" spans="1:9">
      <c r="A24" s="962"/>
      <c r="B24" s="962"/>
      <c r="C24" s="962"/>
      <c r="F24" s="962"/>
      <c r="G24" s="962"/>
      <c r="H24" s="962"/>
      <c r="I24" s="962"/>
    </row>
    <row r="28" spans="1:9" ht="16.5" customHeight="1">
      <c r="C28" s="966"/>
      <c r="D28" s="966"/>
      <c r="E28" s="966"/>
      <c r="F28" s="966"/>
    </row>
    <row r="29" spans="1:9">
      <c r="C29" s="962"/>
      <c r="D29" s="962"/>
      <c r="E29" s="962"/>
      <c r="F29" s="962"/>
    </row>
    <row r="30" spans="1:9">
      <c r="C30" s="962"/>
      <c r="D30" s="962"/>
      <c r="E30" s="962"/>
      <c r="F30" s="962"/>
    </row>
    <row r="31" spans="1:9" ht="21.75" customHeight="1">
      <c r="C31" s="962"/>
      <c r="D31" s="962"/>
      <c r="E31" s="962"/>
      <c r="F31" s="962"/>
    </row>
    <row r="32" spans="1:9">
      <c r="C32" s="962"/>
      <c r="D32" s="962"/>
      <c r="E32" s="962"/>
      <c r="F32" s="962"/>
    </row>
    <row r="81" ht="23.25" customHeight="1"/>
  </sheetData>
  <mergeCells count="16">
    <mergeCell ref="C30:F30"/>
    <mergeCell ref="C31:F31"/>
    <mergeCell ref="C32:F32"/>
    <mergeCell ref="A1:I1"/>
    <mergeCell ref="A2:I2"/>
    <mergeCell ref="A6:I6"/>
    <mergeCell ref="A21:D21"/>
    <mergeCell ref="F21:I21"/>
    <mergeCell ref="A22:D22"/>
    <mergeCell ref="F22:I22"/>
    <mergeCell ref="A23:D23"/>
    <mergeCell ref="F23:I23"/>
    <mergeCell ref="A24:C24"/>
    <mergeCell ref="F24:I24"/>
    <mergeCell ref="C28:F28"/>
    <mergeCell ref="C29:F29"/>
  </mergeCells>
  <pageMargins left="1.1299999999999999" right="0.26" top="0.26" bottom="0.3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29</vt:i4>
      </vt:variant>
    </vt:vector>
  </HeadingPairs>
  <TitlesOfParts>
    <vt:vector size="29" baseType="lpstr">
      <vt:lpstr>Cover 4</vt:lpstr>
      <vt:lpstr>Abstract (Ponds)</vt:lpstr>
      <vt:lpstr>C.T</vt:lpstr>
      <vt:lpstr>Pond Bhainse colony</vt:lpstr>
      <vt:lpstr>Pond  (2)</vt:lpstr>
      <vt:lpstr>P.E Pipe</vt:lpstr>
      <vt:lpstr>Scr chamber</vt:lpstr>
      <vt:lpstr>RCC Sewer </vt:lpstr>
      <vt:lpstr>Abstract</vt:lpstr>
      <vt:lpstr>BOQ</vt:lpstr>
      <vt:lpstr>CC Block (2)</vt:lpstr>
      <vt:lpstr>Cartage</vt:lpstr>
      <vt:lpstr>Mat state</vt:lpstr>
      <vt:lpstr>CC Block</vt:lpstr>
      <vt:lpstr>(2.50')</vt:lpstr>
      <vt:lpstr>Cartage-2 (2)</vt:lpstr>
      <vt:lpstr>Mater-2</vt:lpstr>
      <vt:lpstr>RCC Nalla(2.50')</vt:lpstr>
      <vt:lpstr>Compound Wall </vt:lpstr>
      <vt:lpstr>P.House</vt:lpstr>
      <vt:lpstr>Scr chamber </vt:lpstr>
      <vt:lpstr>RCC Sump </vt:lpstr>
      <vt:lpstr>CC Nalla(2.50') (2)</vt:lpstr>
      <vt:lpstr>P.Machinery</vt:lpstr>
      <vt:lpstr>Inter connection</vt:lpstr>
      <vt:lpstr>Cartage-3</vt:lpstr>
      <vt:lpstr>Material</vt:lpstr>
      <vt:lpstr>Face sheet</vt:lpstr>
      <vt:lpstr>Cover</vt:lpstr>
    </vt:vector>
  </TitlesOfParts>
  <Company>Ihsan Computers Dadu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sarang</dc:creator>
  <cp:lastModifiedBy>Digital Computer</cp:lastModifiedBy>
  <cp:lastPrinted>2017-02-12T00:10:49Z</cp:lastPrinted>
  <dcterms:created xsi:type="dcterms:W3CDTF">2008-06-19T18:15:50Z</dcterms:created>
  <dcterms:modified xsi:type="dcterms:W3CDTF">2017-02-12T00:13:14Z</dcterms:modified>
</cp:coreProperties>
</file>