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5" windowWidth="11355" windowHeight="6405" tabRatio="995" firstSheet="8" activeTab="8"/>
  </bookViews>
  <sheets>
    <sheet name="Cover " sheetId="5" state="hidden" r:id="rId1"/>
    <sheet name="Design" sheetId="34" state="hidden" r:id="rId2"/>
    <sheet name="D.WORK" sheetId="29" state="hidden" r:id="rId3"/>
    <sheet name="M.stat" sheetId="30" state="hidden" r:id="rId4"/>
    <sheet name="S.Quarter" sheetId="57" state="hidden" r:id="rId5"/>
    <sheet name="S.Mat" sheetId="58" state="hidden" r:id="rId6"/>
    <sheet name="C.Wall" sheetId="35" state="hidden" r:id="rId7"/>
    <sheet name="M.State" sheetId="36" state="hidden" r:id="rId8"/>
    <sheet name="BOQ" sheetId="60" r:id="rId9"/>
  </sheets>
  <externalReferences>
    <externalReference r:id="rId10"/>
  </externalReferences>
  <calcPr calcId="124519"/>
</workbook>
</file>

<file path=xl/calcChain.xml><?xml version="1.0" encoding="utf-8"?>
<calcChain xmlns="http://schemas.openxmlformats.org/spreadsheetml/2006/main">
  <c r="O390" i="60"/>
  <c r="O388"/>
  <c r="O387"/>
  <c r="O378"/>
  <c r="O372"/>
  <c r="O368"/>
  <c r="O364"/>
  <c r="O360"/>
  <c r="O356"/>
  <c r="Q351"/>
  <c r="O351"/>
  <c r="O346"/>
  <c r="G389" s="1"/>
  <c r="O389" s="1"/>
  <c r="F346"/>
  <c r="O343"/>
  <c r="O339"/>
  <c r="O336"/>
  <c r="O332"/>
  <c r="O325"/>
  <c r="O321"/>
  <c r="O316"/>
  <c r="O310"/>
  <c r="O306"/>
  <c r="O304"/>
  <c r="O300"/>
  <c r="O295"/>
  <c r="O291"/>
  <c r="O286"/>
  <c r="O279"/>
  <c r="O269"/>
  <c r="O265"/>
  <c r="O260"/>
  <c r="O255"/>
  <c r="O249"/>
  <c r="O244"/>
  <c r="U316"/>
  <c r="U344" s="1"/>
  <c r="O231"/>
  <c r="O228"/>
  <c r="O224"/>
  <c r="O222"/>
  <c r="N222"/>
  <c r="K222"/>
  <c r="O218"/>
  <c r="B218"/>
  <c r="B222" s="1"/>
  <c r="B224" s="1"/>
  <c r="B231" s="1"/>
  <c r="O197"/>
  <c r="O196"/>
  <c r="O193"/>
  <c r="O191"/>
  <c r="O190"/>
  <c r="O186"/>
  <c r="O185"/>
  <c r="O182"/>
  <c r="N182"/>
  <c r="N190" s="1"/>
  <c r="K182"/>
  <c r="K190" s="1"/>
  <c r="O181"/>
  <c r="N181"/>
  <c r="K181"/>
  <c r="B121"/>
  <c r="O161"/>
  <c r="K161"/>
  <c r="K160"/>
  <c r="O156"/>
  <c r="E146"/>
  <c r="B139"/>
  <c r="O139" s="1"/>
  <c r="O133"/>
  <c r="O127"/>
  <c r="K121"/>
  <c r="C121"/>
  <c r="G132"/>
  <c r="E132"/>
  <c r="C132"/>
  <c r="O95"/>
  <c r="I83"/>
  <c r="E83"/>
  <c r="G82"/>
  <c r="G83" s="1"/>
  <c r="E82"/>
  <c r="O68"/>
  <c r="K54"/>
  <c r="K59" s="1"/>
  <c r="K63" s="1"/>
  <c r="O50"/>
  <c r="V48"/>
  <c r="V47"/>
  <c r="L391" l="1"/>
  <c r="O380"/>
  <c r="O212"/>
  <c r="O236"/>
  <c r="O177"/>
  <c r="O202"/>
  <c r="O171"/>
  <c r="O176"/>
  <c r="B181"/>
  <c r="B185" s="1"/>
  <c r="B196" s="1"/>
  <c r="B182"/>
  <c r="B186" s="1"/>
  <c r="B197" s="1"/>
  <c r="K82"/>
  <c r="K83"/>
  <c r="O147"/>
  <c r="O144"/>
  <c r="K72"/>
  <c r="K84" s="1"/>
  <c r="K90" s="1"/>
  <c r="K68"/>
  <c r="O90"/>
  <c r="O84"/>
  <c r="O121"/>
  <c r="O116"/>
  <c r="O59"/>
  <c r="O110"/>
  <c r="K132"/>
  <c r="O63"/>
  <c r="O40"/>
  <c r="O36"/>
  <c r="O32"/>
  <c r="O28"/>
  <c r="O24"/>
  <c r="O21"/>
  <c r="O13"/>
  <c r="O17"/>
  <c r="O11"/>
  <c r="M320" i="57"/>
  <c r="M309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43"/>
  <c r="M242"/>
  <c r="M241"/>
  <c r="M240"/>
  <c r="M239"/>
  <c r="M238"/>
  <c r="K234"/>
  <c r="K229"/>
  <c r="K228"/>
  <c r="K227"/>
  <c r="K220"/>
  <c r="K219"/>
  <c r="K218"/>
  <c r="K217"/>
  <c r="K216"/>
  <c r="K208"/>
  <c r="K204"/>
  <c r="K197"/>
  <c r="K198"/>
  <c r="K196"/>
  <c r="K191"/>
  <c r="K186"/>
  <c r="K173"/>
  <c r="K174"/>
  <c r="K175"/>
  <c r="K176"/>
  <c r="K177"/>
  <c r="K178"/>
  <c r="K179"/>
  <c r="K180"/>
  <c r="K170"/>
  <c r="K136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03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5"/>
  <c r="K104"/>
  <c r="K100"/>
  <c r="K99"/>
  <c r="K98"/>
  <c r="K97"/>
  <c r="K96"/>
  <c r="K95"/>
  <c r="K94"/>
  <c r="K93"/>
  <c r="K92"/>
  <c r="K91"/>
  <c r="K90"/>
  <c r="K89"/>
  <c r="K88"/>
  <c r="K87"/>
  <c r="K86"/>
  <c r="K80"/>
  <c r="K79"/>
  <c r="K78"/>
  <c r="K77"/>
  <c r="K76"/>
  <c r="K73"/>
  <c r="K67"/>
  <c r="K66"/>
  <c r="K65"/>
  <c r="K64"/>
  <c r="K63"/>
  <c r="K62"/>
  <c r="K61"/>
  <c r="K60"/>
  <c r="K57"/>
  <c r="K51"/>
  <c r="K50"/>
  <c r="K49"/>
  <c r="K48"/>
  <c r="K47"/>
  <c r="K46"/>
  <c r="K45"/>
  <c r="K44"/>
  <c r="K43"/>
  <c r="K40"/>
  <c r="K33"/>
  <c r="K32"/>
  <c r="K31"/>
  <c r="K30"/>
  <c r="K29"/>
  <c r="K28"/>
  <c r="K27"/>
  <c r="K26"/>
  <c r="K25"/>
  <c r="K22"/>
  <c r="K9"/>
  <c r="K7"/>
  <c r="K8"/>
  <c r="K10"/>
  <c r="K11"/>
  <c r="K12"/>
  <c r="K13"/>
  <c r="K14"/>
  <c r="K15"/>
  <c r="K16"/>
  <c r="K6"/>
  <c r="F13" i="58"/>
  <c r="F12"/>
  <c r="I12"/>
  <c r="O378" i="57"/>
  <c r="O321"/>
  <c r="O315"/>
  <c r="O310"/>
  <c r="O298"/>
  <c r="O295"/>
  <c r="E222"/>
  <c r="A1"/>
  <c r="M346"/>
  <c r="I346"/>
  <c r="M345"/>
  <c r="M347"/>
  <c r="B348" s="1"/>
  <c r="O348" s="1"/>
  <c r="I345"/>
  <c r="G339"/>
  <c r="G338"/>
  <c r="G290"/>
  <c r="B235"/>
  <c r="O235"/>
  <c r="K210"/>
  <c r="I205"/>
  <c r="K205" s="1"/>
  <c r="C200"/>
  <c r="B192"/>
  <c r="O192"/>
  <c r="B187"/>
  <c r="C182"/>
  <c r="I171"/>
  <c r="K171" s="1"/>
  <c r="K181" s="1"/>
  <c r="B182" s="1"/>
  <c r="I172"/>
  <c r="K172" s="1"/>
  <c r="K157"/>
  <c r="B158"/>
  <c r="F8" i="58" s="1"/>
  <c r="I74" i="57"/>
  <c r="I75" s="1"/>
  <c r="K75" s="1"/>
  <c r="K81" s="1"/>
  <c r="B82" s="1"/>
  <c r="O82" s="1"/>
  <c r="C69"/>
  <c r="I58"/>
  <c r="I59" s="1"/>
  <c r="K59" s="1"/>
  <c r="K68" s="1"/>
  <c r="B69" s="1"/>
  <c r="O69" s="1"/>
  <c r="I41"/>
  <c r="I42"/>
  <c r="K42" s="1"/>
  <c r="K52" s="1"/>
  <c r="B53" s="1"/>
  <c r="I23"/>
  <c r="I24" s="1"/>
  <c r="K24" s="1"/>
  <c r="K34" s="1"/>
  <c r="B35" s="1"/>
  <c r="H12" i="58"/>
  <c r="H13" s="1"/>
  <c r="B374" i="57"/>
  <c r="B371"/>
  <c r="B368"/>
  <c r="B365"/>
  <c r="B362"/>
  <c r="G356"/>
  <c r="G351"/>
  <c r="G355" s="1"/>
  <c r="E344"/>
  <c r="B333"/>
  <c r="O333" s="1"/>
  <c r="O327"/>
  <c r="K315"/>
  <c r="C315"/>
  <c r="G314"/>
  <c r="K314"/>
  <c r="C303"/>
  <c r="G326"/>
  <c r="E326"/>
  <c r="C326"/>
  <c r="G303"/>
  <c r="C106"/>
  <c r="K106" s="1"/>
  <c r="K125" s="1"/>
  <c r="G126" s="1"/>
  <c r="K35"/>
  <c r="K53" s="1"/>
  <c r="K69" s="1"/>
  <c r="C18"/>
  <c r="M104" i="35"/>
  <c r="C73"/>
  <c r="E72"/>
  <c r="M72" s="1"/>
  <c r="M68"/>
  <c r="M67"/>
  <c r="G49"/>
  <c r="M49" s="1"/>
  <c r="G48"/>
  <c r="M48" s="1"/>
  <c r="G47"/>
  <c r="M47" s="1"/>
  <c r="I46"/>
  <c r="E46"/>
  <c r="G45"/>
  <c r="G46" s="1"/>
  <c r="E45"/>
  <c r="C35"/>
  <c r="C30"/>
  <c r="M11"/>
  <c r="R11"/>
  <c r="A1"/>
  <c r="C188" i="29"/>
  <c r="E187"/>
  <c r="N187" s="1"/>
  <c r="C187"/>
  <c r="N182"/>
  <c r="N181"/>
  <c r="N165"/>
  <c r="G153"/>
  <c r="G164"/>
  <c r="C155"/>
  <c r="K109"/>
  <c r="K108"/>
  <c r="G107"/>
  <c r="G106"/>
  <c r="K93"/>
  <c r="K99"/>
  <c r="K92"/>
  <c r="K98"/>
  <c r="G78"/>
  <c r="G77"/>
  <c r="K26"/>
  <c r="K25"/>
  <c r="U3"/>
  <c r="J18" i="34"/>
  <c r="K18"/>
  <c r="F6"/>
  <c r="D6"/>
  <c r="F21"/>
  <c r="A21" i="5"/>
  <c r="A19"/>
  <c r="A1" i="34"/>
  <c r="D69"/>
  <c r="B69"/>
  <c r="F56"/>
  <c r="E22" i="35"/>
  <c r="C15"/>
  <c r="C22" s="1"/>
  <c r="G15"/>
  <c r="G22" s="1"/>
  <c r="I15"/>
  <c r="I22" s="1"/>
  <c r="M10"/>
  <c r="C113"/>
  <c r="C107"/>
  <c r="C100"/>
  <c r="C94"/>
  <c r="C89"/>
  <c r="C82"/>
  <c r="C85" s="1"/>
  <c r="C75"/>
  <c r="C24"/>
  <c r="C17"/>
  <c r="B130"/>
  <c r="B127"/>
  <c r="B124"/>
  <c r="B120"/>
  <c r="B117"/>
  <c r="O134"/>
  <c r="H10" i="36"/>
  <c r="H11" s="1"/>
  <c r="E111" i="35"/>
  <c r="E103"/>
  <c r="E110" s="1"/>
  <c r="I80"/>
  <c r="G80"/>
  <c r="G79"/>
  <c r="I78"/>
  <c r="I73"/>
  <c r="G34"/>
  <c r="K24"/>
  <c r="K35" s="1"/>
  <c r="E21"/>
  <c r="B21"/>
  <c r="B29" s="1"/>
  <c r="R10"/>
  <c r="M7"/>
  <c r="M8" s="1"/>
  <c r="M6"/>
  <c r="M15"/>
  <c r="K30"/>
  <c r="E214" i="29"/>
  <c r="C140"/>
  <c r="C150" s="1"/>
  <c r="D47" i="34"/>
  <c r="F47"/>
  <c r="F17"/>
  <c r="F10"/>
  <c r="J6"/>
  <c r="D10" s="1"/>
  <c r="J10" s="1"/>
  <c r="N151" i="29"/>
  <c r="N155" s="1"/>
  <c r="B206"/>
  <c r="B203"/>
  <c r="B200"/>
  <c r="B197"/>
  <c r="B194"/>
  <c r="Q210"/>
  <c r="H9" i="30"/>
  <c r="H11"/>
  <c r="J7"/>
  <c r="I7"/>
  <c r="G7"/>
  <c r="C190" i="29"/>
  <c r="C177"/>
  <c r="I175"/>
  <c r="G175"/>
  <c r="D175"/>
  <c r="C171"/>
  <c r="C165"/>
  <c r="E164"/>
  <c r="E170" s="1"/>
  <c r="C151"/>
  <c r="E150"/>
  <c r="E153" s="1"/>
  <c r="C142"/>
  <c r="C127"/>
  <c r="C132" s="1"/>
  <c r="N125"/>
  <c r="N126" s="1"/>
  <c r="B127" s="1"/>
  <c r="C120"/>
  <c r="C118"/>
  <c r="C112"/>
  <c r="C102"/>
  <c r="O96"/>
  <c r="O102" s="1"/>
  <c r="C96"/>
  <c r="C89"/>
  <c r="G87"/>
  <c r="I87" s="1"/>
  <c r="N87" s="1"/>
  <c r="G86"/>
  <c r="G92" s="1"/>
  <c r="C80"/>
  <c r="K78"/>
  <c r="K76"/>
  <c r="C72"/>
  <c r="M69"/>
  <c r="C67"/>
  <c r="E65"/>
  <c r="M64"/>
  <c r="C62"/>
  <c r="E60"/>
  <c r="E70" s="1"/>
  <c r="E59"/>
  <c r="E64" s="1"/>
  <c r="E69" s="1"/>
  <c r="C57"/>
  <c r="C54"/>
  <c r="C60"/>
  <c r="C51"/>
  <c r="G48"/>
  <c r="I48" s="1"/>
  <c r="G47"/>
  <c r="C42"/>
  <c r="C31"/>
  <c r="N188"/>
  <c r="C25"/>
  <c r="C47" s="1"/>
  <c r="L23"/>
  <c r="K23"/>
  <c r="I23"/>
  <c r="K20"/>
  <c r="I20"/>
  <c r="G20"/>
  <c r="G19"/>
  <c r="G25" s="1"/>
  <c r="C19"/>
  <c r="C21" s="1"/>
  <c r="M42"/>
  <c r="M51" s="1"/>
  <c r="M62" s="1"/>
  <c r="M67" s="1"/>
  <c r="C9"/>
  <c r="W3"/>
  <c r="I6" s="1"/>
  <c r="W2"/>
  <c r="I5" s="1"/>
  <c r="A23" i="5"/>
  <c r="G53" i="29"/>
  <c r="I53" s="1"/>
  <c r="G54"/>
  <c r="G65" s="1"/>
  <c r="I78"/>
  <c r="I47"/>
  <c r="I59" s="1"/>
  <c r="I64" s="1"/>
  <c r="I69" s="1"/>
  <c r="G59"/>
  <c r="G64" s="1"/>
  <c r="G69" s="1"/>
  <c r="I86"/>
  <c r="G93"/>
  <c r="G99" s="1"/>
  <c r="I99" s="1"/>
  <c r="N99" s="1"/>
  <c r="H47" i="34"/>
  <c r="F64"/>
  <c r="F67"/>
  <c r="C213" i="29"/>
  <c r="N214" s="1"/>
  <c r="J69" i="34"/>
  <c r="G5" i="29"/>
  <c r="G60"/>
  <c r="G70" s="1"/>
  <c r="G6"/>
  <c r="I54"/>
  <c r="I65" s="1"/>
  <c r="A24" i="5"/>
  <c r="I107" i="29"/>
  <c r="N107" s="1"/>
  <c r="G109"/>
  <c r="I109" s="1"/>
  <c r="N109" s="1"/>
  <c r="M69" i="35"/>
  <c r="G70" s="1"/>
  <c r="M12"/>
  <c r="G13" s="1"/>
  <c r="N183" i="29"/>
  <c r="B184" s="1"/>
  <c r="N20"/>
  <c r="G23"/>
  <c r="N23" s="1"/>
  <c r="G26"/>
  <c r="N26" s="1"/>
  <c r="G21"/>
  <c r="G75" s="1"/>
  <c r="I75" s="1"/>
  <c r="M120"/>
  <c r="M127" s="1"/>
  <c r="M132" s="1"/>
  <c r="M142" s="1"/>
  <c r="M151" s="1"/>
  <c r="M165" s="1"/>
  <c r="M171" s="1"/>
  <c r="M177" s="1"/>
  <c r="M190" s="1"/>
  <c r="G108"/>
  <c r="I108" s="1"/>
  <c r="I106"/>
  <c r="M73" i="35"/>
  <c r="C79"/>
  <c r="M79"/>
  <c r="E78"/>
  <c r="G76" i="29"/>
  <c r="I76" s="1"/>
  <c r="N76" s="1"/>
  <c r="I77"/>
  <c r="M93" i="35"/>
  <c r="B94" s="1"/>
  <c r="M78"/>
  <c r="E80"/>
  <c r="M80"/>
  <c r="K221" i="57"/>
  <c r="B222" s="1"/>
  <c r="K230"/>
  <c r="B231"/>
  <c r="O231" s="1"/>
  <c r="K199"/>
  <c r="B200" s="1"/>
  <c r="O200" s="1"/>
  <c r="E303"/>
  <c r="K303"/>
  <c r="B304" s="1"/>
  <c r="O304" s="1"/>
  <c r="K356"/>
  <c r="J13" i="58"/>
  <c r="I13"/>
  <c r="K351" i="57"/>
  <c r="B352" s="1"/>
  <c r="O352" s="1"/>
  <c r="J12" i="58"/>
  <c r="K355" i="57"/>
  <c r="K357" s="1"/>
  <c r="B358" s="1"/>
  <c r="O358" s="1"/>
  <c r="K74"/>
  <c r="L288"/>
  <c r="K23"/>
  <c r="K41"/>
  <c r="K58"/>
  <c r="K326"/>
  <c r="K17"/>
  <c r="B18"/>
  <c r="O18" s="1"/>
  <c r="K101"/>
  <c r="C126"/>
  <c r="K126" s="1"/>
  <c r="B127" s="1"/>
  <c r="O158"/>
  <c r="B163"/>
  <c r="K163"/>
  <c r="B164" s="1"/>
  <c r="O164" s="1"/>
  <c r="M338"/>
  <c r="O187"/>
  <c r="O237" i="60" l="1"/>
  <c r="O203"/>
  <c r="O72"/>
  <c r="K95"/>
  <c r="K98"/>
  <c r="K101" s="1"/>
  <c r="K104" s="1"/>
  <c r="K110" s="1"/>
  <c r="K133" s="1"/>
  <c r="K139" s="1"/>
  <c r="K144" s="1"/>
  <c r="K147" s="1"/>
  <c r="O54"/>
  <c r="O42"/>
  <c r="F9" i="58"/>
  <c r="I9" s="1"/>
  <c r="O222" i="57"/>
  <c r="F7" i="58"/>
  <c r="O127" i="57"/>
  <c r="C153" i="29"/>
  <c r="C164"/>
  <c r="C170" s="1"/>
  <c r="N150"/>
  <c r="B151" s="1"/>
  <c r="Q151" s="1"/>
  <c r="F6" i="58"/>
  <c r="I6" s="1"/>
  <c r="O53" i="57"/>
  <c r="M339"/>
  <c r="M340" s="1"/>
  <c r="B341" s="1"/>
  <c r="O341" s="1"/>
  <c r="O182"/>
  <c r="M290"/>
  <c r="L291"/>
  <c r="B292" s="1"/>
  <c r="O94" i="35"/>
  <c r="E99"/>
  <c r="M99" s="1"/>
  <c r="B100" s="1"/>
  <c r="O100" s="1"/>
  <c r="D12" i="34"/>
  <c r="J12" s="1"/>
  <c r="D16" s="1"/>
  <c r="K16" s="1"/>
  <c r="K19" s="1"/>
  <c r="D21" s="1"/>
  <c r="J21" s="1"/>
  <c r="D23" s="1"/>
  <c r="H23" s="1"/>
  <c r="J30"/>
  <c r="J34" s="1"/>
  <c r="B13" i="35"/>
  <c r="M65"/>
  <c r="B70" s="1"/>
  <c r="K127" i="57"/>
  <c r="K158" s="1"/>
  <c r="K164" s="1"/>
  <c r="K82"/>
  <c r="O35"/>
  <c r="I8" i="58"/>
  <c r="G8"/>
  <c r="J8"/>
  <c r="M22" i="35"/>
  <c r="F10" i="58"/>
  <c r="K10" s="1"/>
  <c r="N78" i="29"/>
  <c r="N140"/>
  <c r="B142" s="1"/>
  <c r="K45" i="35"/>
  <c r="I206" i="57"/>
  <c r="N164" i="29"/>
  <c r="B165" s="1"/>
  <c r="Q165" s="1"/>
  <c r="N19"/>
  <c r="I118"/>
  <c r="N118" s="1"/>
  <c r="N6"/>
  <c r="N5"/>
  <c r="N69"/>
  <c r="N65"/>
  <c r="N170"/>
  <c r="B171" s="1"/>
  <c r="N153"/>
  <c r="B155" s="1"/>
  <c r="N21"/>
  <c r="N24" s="1"/>
  <c r="Q155"/>
  <c r="N189"/>
  <c r="B190" s="1"/>
  <c r="M80"/>
  <c r="M89" s="1"/>
  <c r="M96" s="1"/>
  <c r="M102" s="1"/>
  <c r="M72"/>
  <c r="I117"/>
  <c r="N25"/>
  <c r="N27" s="1"/>
  <c r="I60"/>
  <c r="N48"/>
  <c r="G98"/>
  <c r="I98" s="1"/>
  <c r="I92"/>
  <c r="Q171"/>
  <c r="B214"/>
  <c r="F6" i="30"/>
  <c r="Q184" i="29"/>
  <c r="B39"/>
  <c r="N39" s="1"/>
  <c r="B29"/>
  <c r="C53"/>
  <c r="N53" s="1"/>
  <c r="N47"/>
  <c r="N49" s="1"/>
  <c r="B51" s="1"/>
  <c r="Q51" s="1"/>
  <c r="C59"/>
  <c r="B72"/>
  <c r="Q72" s="1"/>
  <c r="B132"/>
  <c r="Q132" s="1"/>
  <c r="Q127"/>
  <c r="Q142"/>
  <c r="N175"/>
  <c r="B176" s="1"/>
  <c r="N176" s="1"/>
  <c r="B177" s="1"/>
  <c r="Q177" s="1"/>
  <c r="F8" i="30"/>
  <c r="Q190" i="29"/>
  <c r="N54"/>
  <c r="I93"/>
  <c r="N93" s="1"/>
  <c r="Q214"/>
  <c r="K75" i="35"/>
  <c r="K82" s="1"/>
  <c r="K85" s="1"/>
  <c r="K89" s="1"/>
  <c r="K94" s="1"/>
  <c r="K100" s="1"/>
  <c r="K107" s="1"/>
  <c r="K113" s="1"/>
  <c r="K51"/>
  <c r="K57" s="1"/>
  <c r="M70"/>
  <c r="G105" s="1"/>
  <c r="M105" s="1"/>
  <c r="M13"/>
  <c r="B14" s="1"/>
  <c r="K46"/>
  <c r="M81"/>
  <c r="B82" s="1"/>
  <c r="M74"/>
  <c r="B75" s="1"/>
  <c r="O75" s="1"/>
  <c r="M14"/>
  <c r="M16" s="1"/>
  <c r="B17" s="1"/>
  <c r="O17" s="1"/>
  <c r="C21"/>
  <c r="M50"/>
  <c r="B51" s="1"/>
  <c r="O82"/>
  <c r="F9" i="36"/>
  <c r="B85" i="35"/>
  <c r="F7" i="36"/>
  <c r="G9" i="58"/>
  <c r="G6"/>
  <c r="L372" i="57"/>
  <c r="L128" i="35"/>
  <c r="N204" i="29"/>
  <c r="N195"/>
  <c r="L363" i="57"/>
  <c r="L118" i="35"/>
  <c r="L121"/>
  <c r="N198" i="29"/>
  <c r="L366" i="57"/>
  <c r="N207" i="29"/>
  <c r="L375" i="57"/>
  <c r="L131" i="35"/>
  <c r="N201" i="29"/>
  <c r="L369" i="57"/>
  <c r="L125" i="35"/>
  <c r="J9" i="58"/>
  <c r="J6"/>
  <c r="O43" i="60" l="1"/>
  <c r="G385" s="1"/>
  <c r="F43"/>
  <c r="O385"/>
  <c r="K152"/>
  <c r="K150"/>
  <c r="J50" i="34"/>
  <c r="J52" s="1"/>
  <c r="D56" s="1"/>
  <c r="H56" s="1"/>
  <c r="J36"/>
  <c r="J38" s="1"/>
  <c r="K7" i="58"/>
  <c r="K14" s="1"/>
  <c r="B372" i="57" s="1"/>
  <c r="O372" s="1"/>
  <c r="J7" i="58"/>
  <c r="I7"/>
  <c r="G14"/>
  <c r="B366" i="57" s="1"/>
  <c r="O366" s="1"/>
  <c r="E88" i="35"/>
  <c r="M88" s="1"/>
  <c r="B89" s="1"/>
  <c r="K206" i="57"/>
  <c r="K209" s="1"/>
  <c r="B210" s="1"/>
  <c r="I207"/>
  <c r="K207" s="1"/>
  <c r="K292"/>
  <c r="K295" s="1"/>
  <c r="K298" s="1"/>
  <c r="K304" s="1"/>
  <c r="K327" s="1"/>
  <c r="K333" s="1"/>
  <c r="K341" s="1"/>
  <c r="K348" s="1"/>
  <c r="K222"/>
  <c r="O292"/>
  <c r="F11" i="58"/>
  <c r="N7" i="29"/>
  <c r="B9" s="1"/>
  <c r="Q9" s="1"/>
  <c r="N59"/>
  <c r="C64"/>
  <c r="N64" s="1"/>
  <c r="C75"/>
  <c r="K6" i="30"/>
  <c r="K13" s="1"/>
  <c r="B204" i="29" s="1"/>
  <c r="Q204" s="1"/>
  <c r="J6" i="30"/>
  <c r="I6"/>
  <c r="I70" i="29"/>
  <c r="N70" s="1"/>
  <c r="N71" s="1"/>
  <c r="N60"/>
  <c r="N61" s="1"/>
  <c r="B62" s="1"/>
  <c r="Q62" s="1"/>
  <c r="N55"/>
  <c r="B57" s="1"/>
  <c r="Q57" s="1"/>
  <c r="J8" i="30"/>
  <c r="I8"/>
  <c r="G29" i="29"/>
  <c r="N29" s="1"/>
  <c r="B31" s="1"/>
  <c r="B37"/>
  <c r="N37" s="1"/>
  <c r="N40" s="1"/>
  <c r="B42" s="1"/>
  <c r="Q42" s="1"/>
  <c r="C71" i="35"/>
  <c r="G71" s="1"/>
  <c r="M103"/>
  <c r="O85"/>
  <c r="M21"/>
  <c r="M23" s="1"/>
  <c r="B24" s="1"/>
  <c r="C29"/>
  <c r="K7" i="36"/>
  <c r="K12" s="1"/>
  <c r="B128" i="35" s="1"/>
  <c r="O128" s="1"/>
  <c r="I7" i="36"/>
  <c r="J7"/>
  <c r="I9"/>
  <c r="F10"/>
  <c r="J9"/>
  <c r="F8"/>
  <c r="O51" i="35"/>
  <c r="B56"/>
  <c r="K56" s="1"/>
  <c r="B57" s="1"/>
  <c r="O57" s="1"/>
  <c r="O89"/>
  <c r="F11" i="36"/>
  <c r="M111" i="35"/>
  <c r="O98" i="60" l="1"/>
  <c r="B101"/>
  <c r="O104"/>
  <c r="J11" i="58"/>
  <c r="I11"/>
  <c r="K352" i="57"/>
  <c r="K358"/>
  <c r="O210"/>
  <c r="O359" s="1"/>
  <c r="O381" s="1"/>
  <c r="F5" i="58"/>
  <c r="Q31" i="29"/>
  <c r="F12" i="30"/>
  <c r="C86" i="29"/>
  <c r="C77"/>
  <c r="N77" s="1"/>
  <c r="N75"/>
  <c r="N66"/>
  <c r="B67"/>
  <c r="Q67" s="1"/>
  <c r="I11" i="36"/>
  <c r="J11"/>
  <c r="I8"/>
  <c r="G8"/>
  <c r="J8"/>
  <c r="J10"/>
  <c r="I10"/>
  <c r="F5"/>
  <c r="O24" i="35"/>
  <c r="M106"/>
  <c r="B107" s="1"/>
  <c r="O107" s="1"/>
  <c r="M110"/>
  <c r="M112" s="1"/>
  <c r="B113" s="1"/>
  <c r="O113" s="1"/>
  <c r="E34"/>
  <c r="M34" s="1"/>
  <c r="B35" s="1"/>
  <c r="O35" s="1"/>
  <c r="M29"/>
  <c r="B30" s="1"/>
  <c r="O101" i="60" l="1"/>
  <c r="I5" i="58"/>
  <c r="I14" s="1"/>
  <c r="B363" i="57" s="1"/>
  <c r="O363" s="1"/>
  <c r="J5" i="58"/>
  <c r="J14" s="1"/>
  <c r="B375" i="57" s="1"/>
  <c r="O375" s="1"/>
  <c r="H5" i="58"/>
  <c r="H14" s="1"/>
  <c r="B369" i="57" s="1"/>
  <c r="O369" s="1"/>
  <c r="N86" i="29"/>
  <c r="N88" s="1"/>
  <c r="B89" s="1"/>
  <c r="C92"/>
  <c r="J12" i="30"/>
  <c r="G12"/>
  <c r="I12"/>
  <c r="N79" i="29"/>
  <c r="B80" s="1"/>
  <c r="O30" i="35"/>
  <c r="F6" i="36"/>
  <c r="J5"/>
  <c r="I5"/>
  <c r="H5"/>
  <c r="H12" s="1"/>
  <c r="B125" i="35" s="1"/>
  <c r="O125" s="1"/>
  <c r="O114"/>
  <c r="O137" s="1"/>
  <c r="O379" i="57" l="1"/>
  <c r="O384" s="1"/>
  <c r="O386" s="1"/>
  <c r="O387" s="1"/>
  <c r="O152" i="60"/>
  <c r="O150"/>
  <c r="Q80" i="29"/>
  <c r="F5" i="30"/>
  <c r="F9"/>
  <c r="Q89" i="29"/>
  <c r="C98"/>
  <c r="N92"/>
  <c r="N94" s="1"/>
  <c r="B96" s="1"/>
  <c r="J6" i="36"/>
  <c r="J12" s="1"/>
  <c r="B131" i="35" s="1"/>
  <c r="O131" s="1"/>
  <c r="G6" i="36"/>
  <c r="G12" s="1"/>
  <c r="B121" i="35" s="1"/>
  <c r="O121" s="1"/>
  <c r="I6" i="36"/>
  <c r="I12" s="1"/>
  <c r="B118" i="35" s="1"/>
  <c r="O118" s="1"/>
  <c r="O162" i="60" l="1"/>
  <c r="O135" i="35"/>
  <c r="O140" s="1"/>
  <c r="O142" s="1"/>
  <c r="O143" s="1"/>
  <c r="I145" s="1"/>
  <c r="O145" s="1"/>
  <c r="C106" i="29"/>
  <c r="N98"/>
  <c r="N100" s="1"/>
  <c r="B102" s="1"/>
  <c r="I9" i="30"/>
  <c r="G9"/>
  <c r="J9"/>
  <c r="F10"/>
  <c r="Q96" i="29"/>
  <c r="J5" i="30"/>
  <c r="H5"/>
  <c r="H13" s="1"/>
  <c r="B201" i="29" s="1"/>
  <c r="Q201" s="1"/>
  <c r="I5" i="30"/>
  <c r="G163" i="60" l="1"/>
  <c r="O163"/>
  <c r="G386" s="1"/>
  <c r="I10" i="30"/>
  <c r="G10"/>
  <c r="J10"/>
  <c r="C117" i="29"/>
  <c r="N117" s="1"/>
  <c r="N119" s="1"/>
  <c r="B120" s="1"/>
  <c r="Q120" s="1"/>
  <c r="C108"/>
  <c r="N108" s="1"/>
  <c r="N106"/>
  <c r="F11" i="30"/>
  <c r="Q102" i="29"/>
  <c r="O386" i="60" l="1"/>
  <c r="O391" s="1"/>
  <c r="G391"/>
  <c r="J11" i="30"/>
  <c r="I11"/>
  <c r="I13" s="1"/>
  <c r="B195" i="29" s="1"/>
  <c r="Q195" s="1"/>
  <c r="G11" i="30"/>
  <c r="G13" s="1"/>
  <c r="B198" i="29" s="1"/>
  <c r="Q198" s="1"/>
  <c r="N110"/>
  <c r="B112" s="1"/>
  <c r="Q112" s="1"/>
  <c r="J13" i="30"/>
  <c r="B207" i="29" s="1"/>
  <c r="Q207" s="1"/>
  <c r="Q191"/>
  <c r="Q217" s="1"/>
  <c r="Q215" l="1"/>
  <c r="Q220" s="1"/>
  <c r="Q222" l="1"/>
  <c r="Q223" s="1"/>
  <c r="I30" i="5" l="1"/>
</calcChain>
</file>

<file path=xl/sharedStrings.xml><?xml version="1.0" encoding="utf-8"?>
<sst xmlns="http://schemas.openxmlformats.org/spreadsheetml/2006/main" count="2915" uniqueCount="511">
  <si>
    <t xml:space="preserve">Item </t>
  </si>
  <si>
    <t>Rate</t>
  </si>
  <si>
    <t>Unit</t>
  </si>
  <si>
    <t>P%0Cft</t>
  </si>
  <si>
    <t>x</t>
  </si>
  <si>
    <t xml:space="preserve"> =</t>
  </si>
  <si>
    <t>Total</t>
  </si>
  <si>
    <t>Rs</t>
  </si>
  <si>
    <t>Cft</t>
  </si>
  <si>
    <t>P%Sft</t>
  </si>
  <si>
    <t>Sft</t>
  </si>
  <si>
    <t>Cwt</t>
  </si>
  <si>
    <t>Rft</t>
  </si>
  <si>
    <t xml:space="preserve"> @Rs</t>
  </si>
  <si>
    <t>P%Cft</t>
  </si>
  <si>
    <t>R.C.C work i/c all labour and material except the cost of steel</t>
  </si>
  <si>
    <t>S.No:</t>
  </si>
  <si>
    <t>Qty:</t>
  </si>
  <si>
    <t xml:space="preserve">Bajri </t>
  </si>
  <si>
    <t>Stone</t>
  </si>
  <si>
    <t>Hill sand</t>
  </si>
  <si>
    <t xml:space="preserve">Cement </t>
  </si>
  <si>
    <t>Bricks</t>
  </si>
  <si>
    <t xml:space="preserve">Cartage of Material </t>
  </si>
  <si>
    <t xml:space="preserve">Material Statement </t>
  </si>
  <si>
    <t>P-Rft</t>
  </si>
  <si>
    <t xml:space="preserve"> </t>
  </si>
  <si>
    <t>Pacca brick work in foundation and plinth in cement sand mortar(1:6)</t>
  </si>
  <si>
    <t>C.C Plain 1:4:8</t>
  </si>
  <si>
    <t>C.C Plain 1:2:4</t>
  </si>
  <si>
    <t xml:space="preserve">Estimated cost </t>
  </si>
  <si>
    <t>Rs:</t>
  </si>
  <si>
    <t xml:space="preserve"> @Rs:</t>
  </si>
  <si>
    <t>b)</t>
  </si>
  <si>
    <t>CONTRACTOR</t>
  </si>
  <si>
    <t xml:space="preserve">OFFICE OF THE </t>
  </si>
  <si>
    <t>Sft.</t>
  </si>
  <si>
    <t>Cft.</t>
  </si>
  <si>
    <t>=</t>
  </si>
  <si>
    <t>P% Cft</t>
  </si>
  <si>
    <t xml:space="preserve"> /</t>
  </si>
  <si>
    <t>Deduction</t>
  </si>
  <si>
    <t>Say</t>
  </si>
  <si>
    <t>(G.S.I No. 4 P/ 20)</t>
  </si>
  <si>
    <t>Carriage of Earth (Lead 3.0 Mile)</t>
  </si>
  <si>
    <t>Ded:</t>
  </si>
  <si>
    <t>Nos:</t>
  </si>
  <si>
    <t>P/Bag</t>
  </si>
  <si>
    <t>Schedule Items</t>
  </si>
  <si>
    <t>Non Sch: Items</t>
  </si>
  <si>
    <t xml:space="preserve">below </t>
  </si>
  <si>
    <t>Net</t>
  </si>
  <si>
    <t>Excavation of well in dry upto 20’ below ground level and disposal of</t>
  </si>
  <si>
    <t>0' to 5' depth</t>
  </si>
  <si>
    <t>C/Tank.</t>
  </si>
  <si>
    <t xml:space="preserve"> +</t>
  </si>
  <si>
    <t>S/Chamber.</t>
  </si>
  <si>
    <t xml:space="preserve"> @RS:</t>
  </si>
  <si>
    <t>Trengle</t>
  </si>
  <si>
    <t>P/Cft</t>
  </si>
  <si>
    <t>R.C.C work i/c all labour and material except the cost of steel reinforcement  .</t>
  </si>
  <si>
    <t>and its labour for b/b which will be paid separately. This rate also</t>
  </si>
  <si>
    <t>i/c all kinds of formsmoulds lifting, hutting, curing, rendering and</t>
  </si>
  <si>
    <t>finishing the exposed surface (i/c s/w of shingle) (a) R.C work</t>
  </si>
  <si>
    <t>inroof slab beams columns rafts lintels and other structural</t>
  </si>
  <si>
    <t xml:space="preserve"> members laid in situ or prrecast laid in position complete in all</t>
  </si>
  <si>
    <t xml:space="preserve"> respect. (I) Ratio 1:2:4 Lbs cement 2 Cft, sand 4 cft shingle</t>
  </si>
  <si>
    <t>Curb.</t>
  </si>
  <si>
    <t>A'.</t>
  </si>
  <si>
    <t>C/Tank</t>
  </si>
  <si>
    <t>S/C</t>
  </si>
  <si>
    <t>B'</t>
  </si>
  <si>
    <t>Fabrication of mild steel reinforcement  for C.C i/c cutting,</t>
  </si>
  <si>
    <t>bending, laying in position making joints and fastening i/c</t>
  </si>
  <si>
    <t>Wall.</t>
  </si>
  <si>
    <t>Cwt.</t>
  </si>
  <si>
    <t>P/Cwt</t>
  </si>
  <si>
    <t>wet sinking of wells for depth below spring level by means of</t>
  </si>
  <si>
    <t xml:space="preserve"> drivers i/c all charges of shoring loading and removing excavated</t>
  </si>
  <si>
    <t>0' to 5'</t>
  </si>
  <si>
    <t>5' to 10'</t>
  </si>
  <si>
    <t>10' to 15'</t>
  </si>
  <si>
    <t>15' to 20'</t>
  </si>
  <si>
    <t>20' to 25'</t>
  </si>
  <si>
    <r>
      <t xml:space="preserve"> </t>
    </r>
    <r>
      <rPr>
        <sz val="12"/>
        <rFont val="Times New Roman"/>
        <family val="1"/>
      </rPr>
      <t>Cement concrete Brick or stone ballest 1 ½” to 2” gauged ratio (1:4:8)</t>
    </r>
  </si>
  <si>
    <t xml:space="preserve">Cement concrete plain i/c placing compacting finishing and curing </t>
  </si>
  <si>
    <t>complete i/c screening and washing of stone aggregate without shuttering</t>
  </si>
  <si>
    <t>Rft.</t>
  </si>
  <si>
    <t>P/Rft</t>
  </si>
  <si>
    <t>Bailing or pumping out sub soil water during excavated concerting cost in situ</t>
  </si>
  <si>
    <t>1st Opration</t>
  </si>
  <si>
    <t>2nd opration</t>
  </si>
  <si>
    <t>Providing Construction joints in concrete work of 9” (225mm)</t>
  </si>
  <si>
    <t>made corrugated P.V.C water stop (with bulb) i/c soldering, cost</t>
  </si>
  <si>
    <t>Fabrication of heavy steel work with angles tees flats, iron, round and sheet</t>
  </si>
  <si>
    <t>iron for making trusses, girding tank etc. including cutting riveting handling</t>
  </si>
  <si>
    <t>S/Jalli</t>
  </si>
  <si>
    <t>Erection and fitting in position of iron trusses staging of water tank etc</t>
  </si>
  <si>
    <t>Excavation for pipe lines in trenches in pits in soft soil i/c</t>
  </si>
  <si>
    <t>trimming dressing sides to true alignment shape leveling</t>
  </si>
  <si>
    <t>of beds of trenches to correct level and grade cutting joints holes and</t>
  </si>
  <si>
    <t>disposal of surplus earth within one chain as direct by</t>
  </si>
  <si>
    <t>engineer incharge providing fence guards lights whenever</t>
  </si>
  <si>
    <t>and temporary crossing for non vehicular traffic whenever required</t>
  </si>
  <si>
    <t>0' to 5' Depth</t>
  </si>
  <si>
    <t>P%0 Cft</t>
  </si>
  <si>
    <t>Excavation for pipe lines in trenches in pits in wet soil i/c</t>
  </si>
  <si>
    <t>5' to 8' Depth</t>
  </si>
  <si>
    <t>Excavation for pipe lines in trenches in pits in Slush or Daldal Soil i/c</t>
  </si>
  <si>
    <t>8' to 11' Depth</t>
  </si>
  <si>
    <t>Providing and R.C.C Pipe of A.S.T.M C-76-62 T/C-76-70 Class-II wall-B and</t>
  </si>
  <si>
    <t>fixing in trenches i/c cutting fitting and jointing with rubber ring i/c testing</t>
  </si>
  <si>
    <t xml:space="preserve">18" dia </t>
  </si>
  <si>
    <t>Refilling the Excavated stuff in trenches 6” thick layers leveling</t>
  </si>
  <si>
    <t>i/c watering ramming to full compaction etc complete</t>
  </si>
  <si>
    <t xml:space="preserve">Qtty: of Item No. </t>
  </si>
  <si>
    <t>C.C Stone Ballest 1:4:8</t>
  </si>
  <si>
    <t>C.C. Plain 1:3:6</t>
  </si>
  <si>
    <t>Cement Plaster 1:4 1/2" Thick</t>
  </si>
  <si>
    <t>R.C.C 1:2:4</t>
  </si>
  <si>
    <t>PUMP HOUSE</t>
  </si>
  <si>
    <t>Excavation in foundation of building bridges and other structures.</t>
  </si>
  <si>
    <t>I/c dag belling dressing refilling around the structures with excavated</t>
  </si>
  <si>
    <t>Earth watering ramming lead up to one chain and lift up to 5’ (G.S.I. No. 18 P/ 04)</t>
  </si>
  <si>
    <t>Long Wall</t>
  </si>
  <si>
    <t>S/Wall</t>
  </si>
  <si>
    <t xml:space="preserve"> -</t>
  </si>
  <si>
    <t>Steps</t>
  </si>
  <si>
    <t xml:space="preserve">Cement concrete brick or stone ballast 1 ½” to 2” gauge.  </t>
  </si>
  <si>
    <t>(Ratio 1:4:8) (G.S.I No. 4 P/ 14)</t>
  </si>
  <si>
    <t>Cement concrete plain i/c placing compacting finishing and</t>
  </si>
  <si>
    <t>curing complete i/c screening and washing of stone aggregate</t>
  </si>
  <si>
    <t>without shuttering (Ratio 1:3:6) (G.S.I.No 5 P/ 15)</t>
  </si>
  <si>
    <t>Erection and removal of centering for R.C.C or plain C.C Work</t>
  </si>
  <si>
    <r>
      <t>of Partal Wood 1</t>
    </r>
    <r>
      <rPr>
        <vertAlign val="superscript"/>
        <sz val="12"/>
        <rFont val="Times New Roman"/>
        <family val="1"/>
      </rPr>
      <t>st</t>
    </r>
    <r>
      <rPr>
        <sz val="12"/>
        <rFont val="Times New Roman"/>
        <family val="1"/>
      </rPr>
      <t xml:space="preserve"> class(vertical). (G.S.I.No. 19 P/ 17)</t>
    </r>
  </si>
  <si>
    <t>L/Wall O/S</t>
  </si>
  <si>
    <t>Filling Watering and ramming earth in floor with new earth excavated from</t>
  </si>
  <si>
    <t>out side lead upto 1 chain and lift upto 5' (G.S.I No 22 P- 4)</t>
  </si>
  <si>
    <t>Pacca brick work in ground floor cement, sand, mortar (1:6)</t>
  </si>
  <si>
    <t>(G.S.I. No 5 P/ 20)</t>
  </si>
  <si>
    <t>Door</t>
  </si>
  <si>
    <t>Window</t>
  </si>
  <si>
    <t>Net Qutty:</t>
  </si>
  <si>
    <t xml:space="preserve"> - </t>
  </si>
  <si>
    <t>reinforcement and its labour for b/b which will be paid separately.</t>
  </si>
  <si>
    <t>This rate also i/c all kinds of forms moulds lifting, shutting, curing,</t>
  </si>
  <si>
    <t>rendering and finishing the exposed surface (i/c s/w of shingle) (a) R.C work in</t>
  </si>
  <si>
    <t xml:space="preserve">roof slab beams columns rafts lintels and other structural members laid in </t>
  </si>
  <si>
    <t xml:space="preserve">situ or prrecast laid in position complete in all respect. (I) Ratio 2:2:4 Lbs </t>
  </si>
  <si>
    <t>cement2 Cft, sand 4 cft shingle1/8” to ¼” gauge. (G.S.I No. 6 P/ 16).</t>
  </si>
  <si>
    <t xml:space="preserve">Fabrication of mild steel reinforcement  for C.C i/c cutting,  bending, </t>
  </si>
  <si>
    <t>laying in position making joints and fastening i/c cost of binding wire</t>
  </si>
  <si>
    <t>(also i/c removal of rust from bars).(G.S.I No 8 P/ 16)</t>
  </si>
  <si>
    <t xml:space="preserve">Providing and laying 3” thick to toping Cement Concrete (1:2:4) I/c surface, </t>
  </si>
  <si>
    <t>finishing and dividing in to panel (GSI No. 16 P/42)</t>
  </si>
  <si>
    <t xml:space="preserve">Cement, Plaster (1:6) up to 12’ height ½” thick (G.S.I. No.13 P/51) </t>
  </si>
  <si>
    <t xml:space="preserve">Cement, Plaster (1:4) up to 12’ height 3/8” thick (G.S.I. No.11 P/51) </t>
  </si>
  <si>
    <t>Cement, Pointing struck joint on walls  (1:3) (G.S.I. No.19 P/52)</t>
  </si>
  <si>
    <t>Out side</t>
  </si>
  <si>
    <t xml:space="preserve">Making and fixing steel grated door with 1/16” thick sheeting angle iron </t>
  </si>
  <si>
    <t xml:space="preserve">frame 2”x2”x 3/8” and ¾” sq: bars 4” Center to center  with </t>
  </si>
  <si>
    <t>locking arrangement (G.S.I. No.24 P/91)</t>
  </si>
  <si>
    <t>P/Sft</t>
  </si>
  <si>
    <t xml:space="preserve">Fabrication of heavy steel work with angles tees, flat iron round iron and sheet iron </t>
  </si>
  <si>
    <t xml:space="preserve">for making trsses girders, tanks etc: i/c cutting tanks etc: i/c cutting drilling riveting </t>
  </si>
  <si>
    <t>handling assembling and fixing but excluding erection in positiion. (CSI- 2, P-91)</t>
  </si>
  <si>
    <t>Erection and fitting in position of iron trusses staging of water tanks etc:</t>
  </si>
  <si>
    <t>(C.S.I.No. 3 P/ 91)</t>
  </si>
  <si>
    <t>Qty: same as item No:</t>
  </si>
  <si>
    <t xml:space="preserve">Supplying and fixing in position iron / steel grill of 3/4"x1/4" size flat iron of </t>
  </si>
  <si>
    <t>approved design i/c painting 3 coats etc: complete.</t>
  </si>
  <si>
    <t>(C.S.I. No.26 P/93)</t>
  </si>
  <si>
    <t xml:space="preserve">Supplying and fixing Z section window  ¾” x ¾”x ¾” and partly fixed  </t>
  </si>
  <si>
    <t>i/c designed along with fitting particulars and approved with 3 coats of</t>
  </si>
  <si>
    <t>glass painting. Etc complete (R.A Approved)</t>
  </si>
  <si>
    <t xml:space="preserve">Supplying and fixing in position iron steel grill of  ¾” x ¼” size flat iron of </t>
  </si>
  <si>
    <t xml:space="preserve">approved design i/c painting  03 coats etc complete (weight not to be less </t>
  </si>
  <si>
    <t>than 3 Lbs/sq:  foot of finished grill) (G.S.I. NO.26 P/92)</t>
  </si>
  <si>
    <t xml:space="preserve">PAINTING NEW SURFACE </t>
  </si>
  <si>
    <t xml:space="preserve">Preparing surface and painting of door and window any type i/c </t>
  </si>
  <si>
    <t>Edges 3 coats  (G.S.I. No.5 P/69)</t>
  </si>
  <si>
    <t>White washing of three coats (G.S.I. No.26 P/53)</t>
  </si>
  <si>
    <t>Qtty: of item No.</t>
  </si>
  <si>
    <t>White washing of One coat (G.S.I. No.26 P/53)</t>
  </si>
  <si>
    <t>Color Washing (2 coats) (G.S.I.No:25, P/53).</t>
  </si>
  <si>
    <t>Qtty: of Item No.</t>
  </si>
  <si>
    <t xml:space="preserve">Providing and fixing C.I manhole cover with framme </t>
  </si>
  <si>
    <t>i/c cost of material etc: (P.H.S.I-J(i), P-35) Size 2'x2'</t>
  </si>
  <si>
    <t>P/Cwt.</t>
  </si>
  <si>
    <t>Supplying R.S.J channel section 8"x4" Girders.</t>
  </si>
  <si>
    <t xml:space="preserve">(Sch: of Sant: I-141, P-80) </t>
  </si>
  <si>
    <t>Bags</t>
  </si>
  <si>
    <t>Pacca Brick Work 1:6</t>
  </si>
  <si>
    <t>R.C.C Work 1:2:4</t>
  </si>
  <si>
    <t>C.C Toping 1:2:4 3" thick</t>
  </si>
  <si>
    <t>Cement Plaster 1:6 1/2" Thick</t>
  </si>
  <si>
    <t>Cement Plaster 1:4 3/8" Thick</t>
  </si>
  <si>
    <t>Cementing Pointiong 1:3</t>
  </si>
  <si>
    <t>P%0Nos:</t>
  </si>
  <si>
    <t>soil within 1 chain in (ordinary soil) (G.S.I-1 (a) P/ 85).</t>
  </si>
  <si>
    <t>1/8” to ¼” gauge. (G.S.I No. 6 P/ 16)</t>
  </si>
  <si>
    <t>cost of binding wire(also i/c removal of rust from bars).(G.S.I No 8 P/ 16)</t>
  </si>
  <si>
    <t>material with in 1 chain ( in ordinary soil) ( G.S.I No 03 P/ 86 )</t>
  </si>
  <si>
    <t>(G.S.I-4 (b) P/ 14)</t>
  </si>
  <si>
    <t>(GSI No. 5 p/ 15)</t>
  </si>
  <si>
    <t>concrete or masonary work information etc complete (P.H.S-I/ 18 P/ 75)</t>
  </si>
  <si>
    <t xml:space="preserve">of material and labour ( P.H.S.I -1 P/ 56) </t>
  </si>
  <si>
    <t>erection in position ( G.S.I -2 P/ 90).</t>
  </si>
  <si>
    <t xml:space="preserve">( G.S.I-3 P/ 90)  </t>
  </si>
  <si>
    <t>lift upto 5 Ft and lead upto one chain (P.H.S.I. No. 1 P/ 60)</t>
  </si>
  <si>
    <t>lift upto 5 Ft and lead upto one chain (P.H.S.I. No. 14 P/ 66)</t>
  </si>
  <si>
    <t>lift upto 5 Ft and lead upto one chain (P.H.S.I. No. 15 P/ 67)</t>
  </si>
  <si>
    <t>with water to specified pressure (P/H.S-I -1 P/17)</t>
  </si>
  <si>
    <t>(P.H.S.I. No.24 P/ 77)</t>
  </si>
  <si>
    <t xml:space="preserve">Cement, Plaster (1:4) up to 12’ height ½” thick (G.S.I. No.11 P/51) </t>
  </si>
  <si>
    <t>+</t>
  </si>
  <si>
    <t>Designed population</t>
  </si>
  <si>
    <t>Persons</t>
  </si>
  <si>
    <t>Daily supply</t>
  </si>
  <si>
    <t>G/H/D</t>
  </si>
  <si>
    <t>Discharge</t>
  </si>
  <si>
    <t>Gallons</t>
  </si>
  <si>
    <t>Peek hour Discharge</t>
  </si>
  <si>
    <t xml:space="preserve"> ft</t>
  </si>
  <si>
    <t>Area of collecting tank</t>
  </si>
  <si>
    <t>ft</t>
  </si>
  <si>
    <t>Dia of collecting tank</t>
  </si>
  <si>
    <t>Assuming 30 mintues detention period and under working depth</t>
  </si>
  <si>
    <t>Discharge per hour</t>
  </si>
  <si>
    <t>Discharge per minute</t>
  </si>
  <si>
    <t>Discharge per second</t>
  </si>
  <si>
    <t>Referring to ACIL Table</t>
  </si>
  <si>
    <t>Q</t>
  </si>
  <si>
    <t>V</t>
  </si>
  <si>
    <t>Hf</t>
  </si>
  <si>
    <t>Dia</t>
  </si>
  <si>
    <t xml:space="preserve">Total losses </t>
  </si>
  <si>
    <t>Length</t>
  </si>
  <si>
    <t>Carriage of Pipe  from Hyderabad</t>
  </si>
  <si>
    <t>(Lead</t>
  </si>
  <si>
    <t>Miles)</t>
  </si>
  <si>
    <t>P%Rft</t>
  </si>
  <si>
    <t>C/Wall</t>
  </si>
  <si>
    <t>For</t>
  </si>
  <si>
    <t>L/Wall</t>
  </si>
  <si>
    <t>(Ratio 1:4:8) (G.S.I No. 4 P/ 17)</t>
  </si>
  <si>
    <t>Piller</t>
  </si>
  <si>
    <t>without shuttering (Ratio 1:3:6) (G.S.I.No 5 P/ 18)</t>
  </si>
  <si>
    <r>
      <t>of deodar Wood 1</t>
    </r>
    <r>
      <rPr>
        <vertAlign val="superscript"/>
        <sz val="12"/>
        <rFont val="Times New Roman"/>
        <family val="1"/>
      </rPr>
      <t>st</t>
    </r>
    <r>
      <rPr>
        <sz val="12"/>
        <rFont val="Times New Roman"/>
        <family val="1"/>
      </rPr>
      <t xml:space="preserve"> class(vertical). (G.S.I.No. 18 P/ 19)</t>
    </r>
  </si>
  <si>
    <t>Gate</t>
  </si>
  <si>
    <t>W/Piller</t>
  </si>
  <si>
    <t>Top Wall</t>
  </si>
  <si>
    <t>Cement, Pointing struck joint on walls  (1:3) (G.S.I. No.11 P/57)</t>
  </si>
  <si>
    <t>White washing of two coats (G.S.I. No.26 P/55)</t>
  </si>
  <si>
    <t>Color Washing (2 coats) (G.S.I.No:24, P/60).</t>
  </si>
  <si>
    <t>COMPOUND WALL.</t>
  </si>
  <si>
    <t xml:space="preserve">Making and fixing steel grated door with 1/16” thick sheeting angle iron frame 2”x2”x 3/8” 
</t>
  </si>
  <si>
    <t>and ¾” sq: bars 4” Center to center  with locking arrangement (G.S.I. No.11 P/97)</t>
  </si>
  <si>
    <t xml:space="preserve">Preparing surface and painting of door and window any type i/c Edges 3 coats  
</t>
  </si>
  <si>
    <t>(G.S.I. No.5 P/6)</t>
  </si>
  <si>
    <t xml:space="preserve">Cement, Plaster (1:6) up to 12’ height ½” thick (G.S.I. No.11 P/58) </t>
  </si>
  <si>
    <t xml:space="preserve">Cement, Plaster (1:4) up to 12’ height 3/8” thick (G.S.I. No.11 P/58) </t>
  </si>
  <si>
    <t xml:space="preserve">Pacca brick work in other then building i/c stricking of joints upto </t>
  </si>
  <si>
    <t>20ft height in cement, sand, mortar (1:6) (G.S.I. No 7 P/ 21)</t>
  </si>
  <si>
    <t>X</t>
  </si>
  <si>
    <t>Each</t>
  </si>
  <si>
    <t xml:space="preserve">Excavation for pipe line entrenches and pits in soft soils i/c trimming and dressing sides to true </t>
  </si>
  <si>
    <t xml:space="preserve">alignment and shape leveling of beds of trenches to correct level and grade cutting joint holes </t>
  </si>
  <si>
    <t xml:space="preserve">and disposal of surplus earth within a one chain as directed by Engineer incharge providing fence </t>
  </si>
  <si>
    <t xml:space="preserve">guards lights flags and temporary crossing for non vehicular traffic where were required lift upto </t>
  </si>
  <si>
    <t xml:space="preserve">5ft and lead upto one chain.(P.H.S.I-1, P-60). </t>
  </si>
  <si>
    <t>12" dia</t>
  </si>
  <si>
    <t>P-Each</t>
  </si>
  <si>
    <t xml:space="preserve">Refilling the excavated stuff in trenches 6” thick Layer i/c watering ramming to </t>
  </si>
  <si>
    <t>full compaction etc complete (P.H.S- I-24 P-77)</t>
  </si>
  <si>
    <t>Working head</t>
  </si>
  <si>
    <t>No: of Pumping Set</t>
  </si>
  <si>
    <t>Sets</t>
  </si>
  <si>
    <t>Discharge of each Pumping ser</t>
  </si>
  <si>
    <t>Suction lift</t>
  </si>
  <si>
    <t>Losses of Delivery main</t>
  </si>
  <si>
    <t>Other Losses</t>
  </si>
  <si>
    <t>Height of Bund</t>
  </si>
  <si>
    <t xml:space="preserve">BHP will be </t>
  </si>
  <si>
    <t>BHP</t>
  </si>
  <si>
    <t>Reflex valve heavy pattern test pressure 21 kg /sq, cm or 300 lbs /sq inch</t>
  </si>
  <si>
    <t>Jointing C.I/M.S flanged and specials pipes and inside a trenches i/c</t>
  </si>
  <si>
    <t>supplying of the rubber packing of the required thickness nuts bolts</t>
  </si>
  <si>
    <t>and washers etc and other tools required for jointing and testing the</t>
  </si>
  <si>
    <t>EXECUTIVE ENGINEER PHE DIVISION DADU</t>
  </si>
  <si>
    <t>PUBLIC HEALTH ENGINEERING CIRCLE LARKANA</t>
  </si>
  <si>
    <t>PUBLIC HEALTH ENGINEERING DIVISION DADU</t>
  </si>
  <si>
    <t>Daily Discharge</t>
  </si>
  <si>
    <t>Working Hours</t>
  </si>
  <si>
    <t>Hours</t>
  </si>
  <si>
    <t>&amp; Pump House 1 No: 18'x12'</t>
  </si>
  <si>
    <t>No: of Collecting Tank</t>
  </si>
  <si>
    <t xml:space="preserve">So proposed 3 sets of Electric Motor (Siemens made) 20 BHP coupled </t>
  </si>
  <si>
    <t xml:space="preserve">with KSB non clogging Pump KWPZ 100 - 250 size 5"x4" capable given </t>
  </si>
  <si>
    <t>discharge 850 gallons against the head of 40 ft (1450 RPM 4 pole)</t>
  </si>
  <si>
    <t>(One set as act stand bye).</t>
  </si>
  <si>
    <t>P/Beam</t>
  </si>
  <si>
    <t>Ceilling</t>
  </si>
  <si>
    <t>DESIGN OF DISPOSAL WORK AT ZONE A.</t>
  </si>
  <si>
    <t>Area of Zone A.</t>
  </si>
  <si>
    <t>Acres</t>
  </si>
  <si>
    <t>Pupolation per acre</t>
  </si>
  <si>
    <t>Already available facility</t>
  </si>
  <si>
    <t>Net required</t>
  </si>
  <si>
    <t xml:space="preserve">So provide 2 No: Additional collecting tank 20 ft, 1 No: screening chamber 10 ft dia </t>
  </si>
  <si>
    <t>DESIGN OF DELIVERY MAIN from Disposal work upto Oxidation Pond AT ZONE A</t>
  </si>
  <si>
    <t>DESIGN OF PUMPING MACHINARY AT ZONE A.</t>
  </si>
  <si>
    <t xml:space="preserve">Wall of </t>
  </si>
  <si>
    <t>(Ratio 1:4:8)</t>
  </si>
  <si>
    <t>(Ratio 1:3:6)</t>
  </si>
  <si>
    <t>(Ratio 1:2:4)</t>
  </si>
  <si>
    <t>i)</t>
  </si>
  <si>
    <t>ii)</t>
  </si>
  <si>
    <t>iii)</t>
  </si>
  <si>
    <t>11'to14' Depth</t>
  </si>
  <si>
    <t xml:space="preserve"> @rs:</t>
  </si>
  <si>
    <t>R.C.C Well Crub</t>
  </si>
  <si>
    <t>Brock</t>
  </si>
  <si>
    <t xml:space="preserve">Deduction </t>
  </si>
  <si>
    <t>Gate Piller</t>
  </si>
  <si>
    <t>Main gate</t>
  </si>
  <si>
    <t>Gate Pillers</t>
  </si>
  <si>
    <t>Plinth of C/W</t>
  </si>
  <si>
    <t xml:space="preserve">Providing laying &amp; fixing in trench i/c fitting jointing and testing etc: </t>
  </si>
  <si>
    <t xml:space="preserve">complete in all respect the high density polythylene PE pipes </t>
  </si>
  <si>
    <t xml:space="preserve">(HDPE-100) for W/S confirming ISO 4427/DIN8074/8075 </t>
  </si>
  <si>
    <t>B.S 3580 &amp; PSI 3051. (P.H.S.I-1, P-25). PN 08.</t>
  </si>
  <si>
    <t>4" dia (110mm)</t>
  </si>
  <si>
    <t>HDPE (PE100) fittings (PH.Sch: of Mat: Item No:1, P-18)</t>
  </si>
  <si>
    <t>Elbow / Bend 45 Degree</t>
  </si>
  <si>
    <t>Elbow / Bend 90 Degree</t>
  </si>
  <si>
    <t>But fusion joint (PH.Sch: of Mat: I-H, P-20)</t>
  </si>
  <si>
    <t>Short wall</t>
  </si>
  <si>
    <t xml:space="preserve">First class deodar wood wrought joinery in doors and windows </t>
  </si>
  <si>
    <t xml:space="preserve">etc: fixed in position i/c chowkate hold joints ings iron tower bolts </t>
  </si>
  <si>
    <t xml:space="preserve">chocks cleats handles and cords with hooks etc: deodar panneled or </t>
  </si>
  <si>
    <t>pannelled and glazed or full glazed 1-3/4" thick. (G.S.I-7, P-58).</t>
  </si>
  <si>
    <t xml:space="preserve">Providing and fixing deodar almarah 9"x12" depth i/c boring </t>
  </si>
  <si>
    <t>Verandah</t>
  </si>
  <si>
    <t>with lock shalves shutters bress fitting complete. (GSI-23 P-60)</t>
  </si>
  <si>
    <t xml:space="preserve">Dry brick on edge paving sand grouted i/c preparation of bed by </t>
  </si>
  <si>
    <t xml:space="preserve">watering ramming and bringing the same to proper camber by </t>
  </si>
  <si>
    <t>Bars</t>
  </si>
  <si>
    <t>P/Bar</t>
  </si>
  <si>
    <t>x(</t>
  </si>
  <si>
    <t>)x</t>
  </si>
  <si>
    <t xml:space="preserve">Providing and fixing ornamental cement Jali 2" thick (1:2:4) without steel </t>
  </si>
  <si>
    <t>(GSI-11 P-17)</t>
  </si>
  <si>
    <t>Galianized wire gauge fixed to chowkates with 3/4" deodar strips and serews.</t>
  </si>
  <si>
    <t>(GSI-14 (d), P-59)</t>
  </si>
  <si>
    <t>finishing and dividing in to panels (GSI No. 16 P/41)</t>
  </si>
  <si>
    <t xml:space="preserve">Providing and laying 1” thick to toping Cement Concrete (1:2:4) I/c surface, </t>
  </si>
  <si>
    <t>3" thick</t>
  </si>
  <si>
    <t>1/2" thick mud plaster. (G.S.I-5, P-39).</t>
  </si>
  <si>
    <t>Cutting and fixing iron bars for barred windows. (G.S.I-18, P-91).</t>
  </si>
  <si>
    <t xml:space="preserve">Making and fixing steel grated door with 1/16” thick sheeting i/c angle iron </t>
  </si>
  <si>
    <t xml:space="preserve">frame 2”x2”x 3/8” and ¾”  sq: bars 4” Center to center  with </t>
  </si>
  <si>
    <t>handling assembling and fixing but excluding erection in positiion. (G.S.I- 2, P-90)</t>
  </si>
  <si>
    <t>(G.S.I.No. 3 P/ 90)</t>
  </si>
  <si>
    <t xml:space="preserve">approved design i/c painting 3 coats etc: complete.(weight not to less than </t>
  </si>
  <si>
    <t>3.7 Lbs/sq: foot of finished grill). (G.S.I. No.26 P/93)</t>
  </si>
  <si>
    <t>Dry brick</t>
  </si>
  <si>
    <t>Cementing Pointing 1:3</t>
  </si>
  <si>
    <t xml:space="preserve">PART-I                 RCC COLLECTING TANK </t>
  </si>
  <si>
    <t xml:space="preserve">Collecting Tank </t>
  </si>
  <si>
    <t>Construction of Water Supply scheme Rais Mohammad Khan Chandio UC- Rato Kot Taluka Larkano (ADP 2015-16)</t>
  </si>
  <si>
    <t>Rs.</t>
  </si>
  <si>
    <t>Larkano</t>
  </si>
  <si>
    <t>HDPE (PE100) fittings (PH.Sch: of Mat: Item No:1, P-19)</t>
  </si>
  <si>
    <t>Size (3"x3"x3")</t>
  </si>
  <si>
    <t>Size (4"x4"x3")</t>
  </si>
  <si>
    <t>Size (4"x4"x4")</t>
  </si>
  <si>
    <t>@</t>
  </si>
  <si>
    <t xml:space="preserve">Equal tee </t>
  </si>
  <si>
    <t xml:space="preserve">Un-Equal tee </t>
  </si>
  <si>
    <t>Boring for tube well in all bearing soil from ground level upto 100' ft: or 30.50 meters depth i/c sinking &amp; with drawing of casing pipe (PHSOI NO.1  P- 41  )</t>
  </si>
  <si>
    <t>Providing strong substantailly build wooden locked box with compartment for preserving 2 lbs (1 kg) samples of stratas (PHSI NO.5  P-43   ).</t>
  </si>
  <si>
    <t>Taking &amp; preserving in Box 2 lbs (1 Kg) samples of Strata from bore holes (PHSI NO. 7  P-43)</t>
  </si>
  <si>
    <t xml:space="preserve">12"dia </t>
  </si>
  <si>
    <t xml:space="preserve">3"dia </t>
  </si>
  <si>
    <t>Taking samples of water from bore holes &amp; placing in two separate bottles (PHSI No.9P-43)</t>
  </si>
  <si>
    <t>P.Rft</t>
  </si>
  <si>
    <t>Supplying &amp; Installing  PVC strainer B class of approved desing quality &amp; make i/c necessary sockets etc complete (PHSI No.9 P- 43)</t>
  </si>
  <si>
    <t>Shrounding with graded Bajri (3/8"to 1/8") in between bore holes &amp; blind pipe for 8" dia the diameters of strainers (PHSI No.13 P- 45)</t>
  </si>
  <si>
    <t>Providing &amp; fixing of PVC end plug of approved quality (PHSI No. 8  P- 43).</t>
  </si>
  <si>
    <t>P.Each</t>
  </si>
  <si>
    <t>Nos</t>
  </si>
  <si>
    <t>Supplying &amp; Installing PVC blind pipe (B) class of approved desing quality &amp; make i/c necessary sockets etc complete (PHSI No.12 P- 44)</t>
  </si>
  <si>
    <t xml:space="preserve">Samples </t>
  </si>
  <si>
    <t>3"dia Test bore</t>
  </si>
  <si>
    <t>No</t>
  </si>
  <si>
    <t>Samples</t>
  </si>
  <si>
    <t xml:space="preserve">8"dia </t>
  </si>
  <si>
    <t>G.Total:</t>
  </si>
  <si>
    <t>cft</t>
  </si>
  <si>
    <t>(P.H.S (M) I No C P/ 11)</t>
  </si>
  <si>
    <t>joints in the specified pressure etc complete (P.H.S I No 1 P/ 40)</t>
  </si>
  <si>
    <t>Supplying installing in position i/c transportation  at site of work  HMA stainless steel deep well turbine pump Type BP 17-6 ,7.50 BHP siemens motor 3 phase 400 volts, 50 HZ ,2900 rpm 2 pi;es with suction discharge top set 3"outlet with mechnbical seal, bowl assembly 3"dia coloumn pipe assembly 3"dia x2.7 mx 6 Nos. capable giving discharge 70 gpm against the head of 160 ft: and pump setting depth 55 ft: i/c motor arrangement control unit (7.50 BHP 7.46 KW ASD i/c earthing 0.6Mx0.6Mx3.6mm (2"x2"x1/4") G.I plate burried in the depth of 3.70 m or 12 ft: as per PWD specifications and providing fixing motor control unit consisting metallic box , circut breaker amper meter, volts meter, magnatic conductor, on/off switch, electronic over current relay and indications lamps i.c providing internal electric wiring for main and testing the pumping set agains t72 hours etc complete.(R.A)</t>
  </si>
  <si>
    <t>7.50 BHP</t>
  </si>
  <si>
    <t>sets</t>
  </si>
  <si>
    <t>P.Set</t>
  </si>
  <si>
    <t xml:space="preserve">Inter Connection </t>
  </si>
  <si>
    <t>PART-      PUMPING MACHINERY (N/S)</t>
  </si>
  <si>
    <t>Providing laying G.P pipe and cla,mps etc i/c fixing cutting and fitting complete i/c cost of breaking through walls and making good etc paintng 3 coats after cleaning the pipe with zink paint with pigments to match the pressure head of 200 ft: and ha ndling (SSI No.1 P-12)</t>
  </si>
  <si>
    <t>Delivery line 3" dia</t>
  </si>
  <si>
    <t>P.rft</t>
  </si>
  <si>
    <t xml:space="preserve">Providing &amp; fixing M.S flanges 3" dia made out of M.S 3/8"thick cutting drilling holes etc complete  R.A approved </t>
  </si>
  <si>
    <t>C.I bend with flanges ends with holes i/c turning and facing of flanges for all sizes ( PHS OF mat No. 8 P- 11)</t>
  </si>
  <si>
    <t>cwt</t>
  </si>
  <si>
    <t>P.cwt</t>
  </si>
  <si>
    <t xml:space="preserve">C.I tapper flate bottomed or central tampered flanges end with holes i/c turning </t>
  </si>
  <si>
    <t>facing flange for all sizes (P.H.S (M) I No 7 P/ 11)</t>
  </si>
  <si>
    <t>Reduder 4x3</t>
  </si>
  <si>
    <t>P.Jt</t>
  </si>
  <si>
    <t>General Abstract</t>
  </si>
  <si>
    <t>Public Health Engg:Division-I</t>
  </si>
  <si>
    <t>Total:</t>
  </si>
  <si>
    <t xml:space="preserve">P.E pipe R/main </t>
  </si>
  <si>
    <t>Excavation in foundation of bulding bridge and other structures</t>
  </si>
  <si>
    <t>I/C dig billing dressing refilling aroud the structures with exavated</t>
  </si>
  <si>
    <t>Earth wtering ramming up to 5ft (b) in ordinary soil ( G.S.I-18/P/4)</t>
  </si>
  <si>
    <t>Cement Coancret plain i/c placing compactiong finishing</t>
  </si>
  <si>
    <t>and curing complete i/c screening and washing of stone</t>
  </si>
  <si>
    <t>aggregate without shuttering (Ratio 1:4;8)(G.SI-5 P/17</t>
  </si>
  <si>
    <t>aggregate without shuttering (Ratio 1:2;4)(G.S.I-5 P/15</t>
  </si>
  <si>
    <t>Pacca Brick Work in foundation and plinth in cement</t>
  </si>
  <si>
    <t>sand mortar ( 1:6)( G.S.I NO. 4 P/ 20)</t>
  </si>
  <si>
    <t>Filling watering ramming earth under floor with surplus excavated</t>
  </si>
  <si>
    <t>earth from out side lead upto one chain and lift upto 5ft (G.S.I-21 P-4)</t>
  </si>
  <si>
    <t>Cement Plaster (1:4) Up to 12 height 1/2''  thick (GSI-ll / P/51)</t>
  </si>
  <si>
    <t>RCC work i/c all labour and material except the cost of steel</t>
  </si>
  <si>
    <t xml:space="preserve">reinforecment and its labour for bending and binding which will </t>
  </si>
  <si>
    <t>be paid separatelu This rate also incluses all kinds of forms moukds</t>
  </si>
  <si>
    <t>lifiting shuttering curing recdering and finidhing the exposed surface</t>
  </si>
  <si>
    <t xml:space="preserve">i/c sceening and washing of shingle ( a) R.C work  in roof slab members </t>
  </si>
  <si>
    <t>laid  in site or prreacast laid in position complete in aresplete in respect (i)</t>
  </si>
  <si>
    <t>Ration 1:2:4 90 lbs cement 2 cft sand 4 cft shingle 1/8'' to 1/4 gayge</t>
  </si>
  <si>
    <t>GSI-6 P/16)</t>
  </si>
  <si>
    <t>Fabrication of mild steel reinforcement for cement concrete i/c</t>
  </si>
  <si>
    <t>curring bending laying in position making joints and fastening i/c</t>
  </si>
  <si>
    <t>cost of binding wire also inclidudes removal for rust from bars</t>
  </si>
  <si>
    <t>( GSI-8 (II) (a) P/16)</t>
  </si>
  <si>
    <t>Providing Construction joints in concret work of 9'' (225 mm)</t>
  </si>
  <si>
    <t>made corrugated P.V.C water stop ( with bulb) i/c soldering cost</t>
  </si>
  <si>
    <t>of material and labour (PHSI -2 P/56)</t>
  </si>
  <si>
    <t>Supply of Dampo ( sch: of Mat: 1-46,P-4</t>
  </si>
  <si>
    <t xml:space="preserve">Inside wall &amp; Bed </t>
  </si>
  <si>
    <t xml:space="preserve">Providing G.I pipes Special and clemp etc i/c fixing culting &amp; fitting complete with and  i/c  the cost of breaking through walls and i/c of making  good etc painting two Costs of after cleaning the pipe etc: with white xink paints with pig ment te match the coulors of the building and testing with water to apessure lead head 200 ft- and handling (P.H.S No:1 P-No-12) </t>
  </si>
  <si>
    <t>3/4'' dia</t>
  </si>
  <si>
    <t>Providing and fixing M.S 3'' dia flanged made out of M.S steel 3/8'' thick</t>
  </si>
  <si>
    <t>( Based pm sch rate)</t>
  </si>
  <si>
    <t>Supplying and Fixing in position brass bib cock 3/4'' dia standared pattern</t>
  </si>
  <si>
    <t>(Sant: Sch: 5 P-18)</t>
  </si>
  <si>
    <t xml:space="preserve">C.I Bend with flanged ends with holes i/c turning facing </t>
  </si>
  <si>
    <t>flanged for all size (P.H.S(M)  1-8 P-11)</t>
  </si>
  <si>
    <t>Cost iron speecials for A.C pressure pipe of class B A CIL ( PHS(M) 1 VII P-16</t>
  </si>
  <si>
    <t>Jointing C.I M.S flanged pipe  and specials flanged and inside a</t>
  </si>
  <si>
    <t>tremcj i/c supplying rubber paching of the required thichness nuts</t>
  </si>
  <si>
    <t xml:space="preserve">bolts with washers etc and other looks required for jioting and testing the </t>
  </si>
  <si>
    <t>Jointing to the specified pressure etd commplete (PHSI 1 p- 40)</t>
  </si>
  <si>
    <t>Providing C.I Main hole cover &amp; frame i/c cost of material etc</t>
  </si>
  <si>
    <t>(PHSI J (I) P-35_ Size 2x2    =      1 No</t>
  </si>
  <si>
    <t>C.I Sluce valve geavy patte test pessure 21 kg/sq: cm or 300 lbs/sq: inch</t>
  </si>
  <si>
    <t>P/F CI Venttilator weigh not be less than 80 lbs/ each  tank roof</t>
  </si>
  <si>
    <t>of approved design rain with rater right joints i/c painting etc: complete (PHSI 4 P55</t>
  </si>
  <si>
    <t>Executive Engineer</t>
  </si>
  <si>
    <t xml:space="preserve">BILL OF QUANTITY </t>
  </si>
  <si>
    <t>(A)</t>
  </si>
  <si>
    <t>Description and rate of Item to be executed at site</t>
  </si>
  <si>
    <t>Item #</t>
  </si>
  <si>
    <t>Quantities</t>
  </si>
  <si>
    <t xml:space="preserve">Amount  in Rupees </t>
  </si>
  <si>
    <t>sft</t>
  </si>
  <si>
    <t xml:space="preserve">4"dfia </t>
  </si>
  <si>
    <t>KG</t>
  </si>
  <si>
    <t xml:space="preserve">Qty </t>
  </si>
  <si>
    <t>P%oCft</t>
  </si>
  <si>
    <t>P%sft</t>
  </si>
  <si>
    <t>P.Cft</t>
  </si>
  <si>
    <t>P.Cwt</t>
  </si>
  <si>
    <t>P.kg</t>
  </si>
  <si>
    <t xml:space="preserve">3/4"dia </t>
  </si>
  <si>
    <t xml:space="preserve">P.Jt </t>
  </si>
  <si>
    <t>S.#</t>
  </si>
  <si>
    <t xml:space="preserve">Sub- Works </t>
  </si>
  <si>
    <t xml:space="preserve">Schedule Amount </t>
  </si>
  <si>
    <t xml:space="preserve">N/S Amount </t>
  </si>
  <si>
    <t>G.total:</t>
  </si>
  <si>
    <t>Amount Total (a)</t>
  </si>
  <si>
    <t>---------------- % above /below on the rates CSR</t>
  </si>
  <si>
    <t xml:space="preserve">Amount to be added /deducted on the </t>
  </si>
  <si>
    <t>basis of premium quoted.       TOTAL(b)</t>
  </si>
  <si>
    <t>Total (A) = a+b in words &amp; figure:</t>
  </si>
  <si>
    <t xml:space="preserve">Pump House </t>
  </si>
  <si>
    <t>P.E pipe Distt:system</t>
  </si>
  <si>
    <t>Pumping Machinery</t>
  </si>
  <si>
    <t>PART- 2  PUMP HOUSE (12X10)</t>
  </si>
  <si>
    <t>PART- 1     TUBE WELL</t>
  </si>
  <si>
    <t>Part- 3       P.E Pipe Distt: system</t>
  </si>
  <si>
    <t xml:space="preserve">PART-  4        P.E Pipe Rising main </t>
  </si>
  <si>
    <t>Part - 5  L.S.R</t>
  </si>
  <si>
    <t>L.S.R  (2 Nos)</t>
  </si>
  <si>
    <t>Tube wells (2 Nos)</t>
  </si>
  <si>
    <t xml:space="preserve">2 Nos </t>
  </si>
  <si>
    <t>Pump house</t>
  </si>
  <si>
    <t>*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</si>
</sst>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;[Red]0.00"/>
  </numFmts>
  <fonts count="40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Arial"/>
      <family val="2"/>
    </font>
    <font>
      <b/>
      <u/>
      <sz val="14"/>
      <name val="Arial"/>
      <family val="2"/>
    </font>
    <font>
      <b/>
      <u/>
      <sz val="10"/>
      <name val="Arial"/>
      <family val="2"/>
    </font>
    <font>
      <b/>
      <sz val="9"/>
      <name val="Times New Roman"/>
      <family val="1"/>
    </font>
    <font>
      <sz val="11"/>
      <name val="Bookman Old Style"/>
      <family val="1"/>
    </font>
    <font>
      <b/>
      <sz val="10"/>
      <name val="Bookman Old Style"/>
      <family val="1"/>
    </font>
    <font>
      <sz val="10"/>
      <name val="Bookman Old Style"/>
      <family val="1"/>
    </font>
    <font>
      <b/>
      <i/>
      <sz val="14"/>
      <name val="Tahoma"/>
      <family val="2"/>
    </font>
    <font>
      <sz val="14"/>
      <name val="Arial"/>
      <family val="2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i/>
      <u/>
      <sz val="12"/>
      <name val="Arial"/>
      <family val="2"/>
    </font>
    <font>
      <b/>
      <i/>
      <u/>
      <sz val="12"/>
      <name val="Copperplate Gothic Bold"/>
      <family val="2"/>
    </font>
    <font>
      <sz val="12"/>
      <name val="Arial"/>
      <family val="2"/>
    </font>
    <font>
      <b/>
      <i/>
      <sz val="12"/>
      <name val="Tahoma"/>
      <family val="2"/>
    </font>
    <font>
      <b/>
      <u/>
      <sz val="11"/>
      <name val="Arial"/>
      <family val="2"/>
    </font>
    <font>
      <sz val="10"/>
      <name val="Arial"/>
      <family val="2"/>
    </font>
    <font>
      <b/>
      <u/>
      <sz val="10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sz val="8"/>
      <name val="Times New Roman"/>
      <family val="1"/>
    </font>
    <font>
      <b/>
      <i/>
      <u/>
      <sz val="10"/>
      <name val="Arial"/>
      <family val="2"/>
    </font>
    <font>
      <b/>
      <u/>
      <sz val="12"/>
      <name val="Bookman Old Style"/>
      <family val="1"/>
    </font>
    <font>
      <sz val="10"/>
      <name val="Tahoma"/>
      <family val="2"/>
    </font>
    <font>
      <u/>
      <sz val="10"/>
      <name val="Arial"/>
      <family val="2"/>
    </font>
    <font>
      <u/>
      <sz val="14"/>
      <name val="Times New Roman"/>
      <family val="1"/>
    </font>
    <font>
      <b/>
      <i/>
      <u/>
      <sz val="11"/>
      <name val="Times New Roman"/>
      <family val="1"/>
    </font>
    <font>
      <b/>
      <sz val="10"/>
      <name val="Times New Roman"/>
      <family val="1"/>
    </font>
    <font>
      <sz val="12"/>
      <name val="Palatino Linotype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7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1" fontId="1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left"/>
    </xf>
    <xf numFmtId="1" fontId="2" fillId="0" borderId="0" xfId="0" applyNumberFormat="1" applyFont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7" fillId="0" borderId="0" xfId="0" applyFont="1"/>
    <xf numFmtId="2" fontId="0" fillId="0" borderId="0" xfId="0" applyNumberForma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14" fillId="0" borderId="5" xfId="0" applyFont="1" applyBorder="1"/>
    <xf numFmtId="0" fontId="14" fillId="0" borderId="0" xfId="0" applyFont="1" applyBorder="1"/>
    <xf numFmtId="0" fontId="14" fillId="0" borderId="6" xfId="0" applyFont="1" applyBorder="1"/>
    <xf numFmtId="0" fontId="6" fillId="0" borderId="0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/>
    <xf numFmtId="0" fontId="16" fillId="0" borderId="0" xfId="0" applyFont="1"/>
    <xf numFmtId="0" fontId="5" fillId="0" borderId="0" xfId="0" applyFont="1" applyAlignment="1"/>
    <xf numFmtId="0" fontId="0" fillId="0" borderId="0" xfId="0" applyAlignment="1">
      <alignment horizontal="center" vertical="top"/>
    </xf>
    <xf numFmtId="2" fontId="2" fillId="0" borderId="0" xfId="0" applyNumberFormat="1" applyFont="1"/>
    <xf numFmtId="2" fontId="12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2" fontId="4" fillId="0" borderId="0" xfId="0" applyNumberFormat="1" applyFont="1"/>
    <xf numFmtId="2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1" fontId="4" fillId="0" borderId="0" xfId="0" applyNumberFormat="1" applyFont="1"/>
    <xf numFmtId="1" fontId="0" fillId="0" borderId="0" xfId="0" applyNumberFormat="1" applyAlignment="1">
      <alignment horizontal="center"/>
    </xf>
    <xf numFmtId="0" fontId="15" fillId="0" borderId="0" xfId="0" applyFont="1"/>
    <xf numFmtId="0" fontId="19" fillId="0" borderId="5" xfId="0" applyFont="1" applyBorder="1"/>
    <xf numFmtId="0" fontId="20" fillId="0" borderId="0" xfId="0" applyFont="1" applyAlignment="1">
      <alignment horizontal="center"/>
    </xf>
    <xf numFmtId="0" fontId="19" fillId="0" borderId="0" xfId="0" applyFont="1" applyBorder="1"/>
    <xf numFmtId="0" fontId="19" fillId="0" borderId="6" xfId="0" applyFon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/>
    <xf numFmtId="2" fontId="4" fillId="0" borderId="0" xfId="0" applyNumberFormat="1" applyFont="1" applyAlignment="1">
      <alignment horizontal="right"/>
    </xf>
    <xf numFmtId="0" fontId="5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1" fontId="4" fillId="0" borderId="0" xfId="0" applyNumberFormat="1" applyFont="1" applyAlignment="1">
      <alignment horizontal="center"/>
    </xf>
    <xf numFmtId="2" fontId="5" fillId="0" borderId="0" xfId="0" applyNumberFormat="1" applyFont="1"/>
    <xf numFmtId="2" fontId="1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/>
    <xf numFmtId="0" fontId="0" fillId="0" borderId="0" xfId="0" applyAlignment="1">
      <alignment vertical="center"/>
    </xf>
    <xf numFmtId="0" fontId="9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9" fontId="4" fillId="0" borderId="0" xfId="0" applyNumberFormat="1" applyFont="1"/>
    <xf numFmtId="2" fontId="0" fillId="0" borderId="0" xfId="0" applyNumberFormat="1" applyAlignment="1">
      <alignment horizontal="center"/>
    </xf>
    <xf numFmtId="0" fontId="21" fillId="0" borderId="0" xfId="0" applyFont="1" applyAlignment="1">
      <alignment horizontal="left" vertical="top"/>
    </xf>
    <xf numFmtId="0" fontId="8" fillId="0" borderId="0" xfId="0" applyFont="1"/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quotePrefix="1" applyFont="1"/>
    <xf numFmtId="0" fontId="23" fillId="0" borderId="0" xfId="0" applyFont="1" applyAlignment="1"/>
    <xf numFmtId="2" fontId="1" fillId="0" borderId="0" xfId="0" applyNumberFormat="1" applyFont="1"/>
    <xf numFmtId="2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24" fillId="0" borderId="0" xfId="0" applyFont="1" applyAlignment="1"/>
    <xf numFmtId="2" fontId="22" fillId="0" borderId="0" xfId="0" applyNumberFormat="1" applyFont="1" applyAlignment="1">
      <alignment horizontal="right"/>
    </xf>
    <xf numFmtId="0" fontId="23" fillId="0" borderId="0" xfId="0" applyFont="1"/>
    <xf numFmtId="0" fontId="25" fillId="0" borderId="0" xfId="0" applyFont="1" applyAlignment="1"/>
    <xf numFmtId="165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1" fontId="0" fillId="0" borderId="1" xfId="0" applyNumberForma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5" fillId="0" borderId="0" xfId="0" applyNumberFormat="1" applyFont="1"/>
    <xf numFmtId="2" fontId="16" fillId="0" borderId="0" xfId="0" applyNumberFormat="1" applyFont="1"/>
    <xf numFmtId="2" fontId="26" fillId="0" borderId="0" xfId="0" applyNumberFormat="1" applyFont="1"/>
    <xf numFmtId="0" fontId="26" fillId="0" borderId="0" xfId="0" applyFont="1" applyAlignment="1">
      <alignment horizontal="left"/>
    </xf>
    <xf numFmtId="2" fontId="26" fillId="0" borderId="0" xfId="0" applyNumberFormat="1" applyFont="1" applyAlignment="1"/>
    <xf numFmtId="0" fontId="26" fillId="0" borderId="0" xfId="0" applyFont="1" applyAlignment="1"/>
    <xf numFmtId="0" fontId="5" fillId="0" borderId="0" xfId="0" applyFont="1" applyAlignment="1">
      <alignment horizontal="right"/>
    </xf>
    <xf numFmtId="2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left"/>
    </xf>
    <xf numFmtId="0" fontId="26" fillId="0" borderId="0" xfId="0" applyFont="1"/>
    <xf numFmtId="2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left"/>
    </xf>
    <xf numFmtId="0" fontId="28" fillId="0" borderId="0" xfId="0" applyFont="1"/>
    <xf numFmtId="2" fontId="26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2" fontId="26" fillId="0" borderId="0" xfId="0" applyNumberFormat="1" applyFont="1" applyAlignment="1">
      <alignment horizontal="right"/>
    </xf>
    <xf numFmtId="1" fontId="16" fillId="0" borderId="0" xfId="0" applyNumberFormat="1" applyFont="1" applyAlignment="1">
      <alignment horizontal="left"/>
    </xf>
    <xf numFmtId="1" fontId="22" fillId="0" borderId="0" xfId="0" applyNumberFormat="1" applyFont="1" applyAlignment="1">
      <alignment horizontal="left"/>
    </xf>
    <xf numFmtId="1" fontId="26" fillId="0" borderId="0" xfId="0" applyNumberFormat="1" applyFont="1" applyAlignment="1">
      <alignment horizontal="left"/>
    </xf>
    <xf numFmtId="164" fontId="0" fillId="0" borderId="1" xfId="0" applyNumberFormat="1" applyBorder="1" applyAlignment="1">
      <alignment horizontal="center" vertical="center"/>
    </xf>
    <xf numFmtId="9" fontId="4" fillId="0" borderId="0" xfId="0" applyNumberFormat="1" applyFont="1" applyAlignment="1">
      <alignment horizontal="center"/>
    </xf>
    <xf numFmtId="0" fontId="0" fillId="0" borderId="10" xfId="0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/>
    <xf numFmtId="9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25" fillId="0" borderId="0" xfId="0" applyNumberFormat="1" applyFont="1" applyAlignment="1"/>
    <xf numFmtId="0" fontId="31" fillId="0" borderId="0" xfId="0" applyFont="1"/>
    <xf numFmtId="2" fontId="32" fillId="0" borderId="0" xfId="0" applyNumberFormat="1" applyFont="1"/>
    <xf numFmtId="2" fontId="1" fillId="0" borderId="0" xfId="0" applyNumberFormat="1" applyFont="1" applyAlignment="1"/>
    <xf numFmtId="2" fontId="1" fillId="0" borderId="0" xfId="0" applyNumberFormat="1" applyFont="1" applyAlignment="1">
      <alignment horizontal="center"/>
    </xf>
    <xf numFmtId="1" fontId="32" fillId="0" borderId="0" xfId="0" applyNumberFormat="1" applyFont="1" applyAlignment="1">
      <alignment horizontal="left"/>
    </xf>
    <xf numFmtId="0" fontId="5" fillId="0" borderId="0" xfId="0" applyFont="1" applyAlignment="1">
      <alignment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0" fontId="26" fillId="0" borderId="0" xfId="0" applyFont="1" applyAlignment="1">
      <alignment horizontal="right" vertical="top"/>
    </xf>
    <xf numFmtId="1" fontId="26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top" wrapText="1"/>
    </xf>
    <xf numFmtId="1" fontId="5" fillId="0" borderId="0" xfId="0" applyNumberFormat="1" applyFont="1" applyAlignment="1">
      <alignment horizontal="left" vertical="top"/>
    </xf>
    <xf numFmtId="1" fontId="5" fillId="0" borderId="0" xfId="0" applyNumberFormat="1" applyFont="1" applyAlignment="1">
      <alignment horizontal="left" vertical="top" wrapText="1"/>
    </xf>
    <xf numFmtId="1" fontId="5" fillId="0" borderId="0" xfId="0" applyNumberFormat="1" applyFont="1" applyAlignment="1">
      <alignment horizontal="right" vertical="top"/>
    </xf>
    <xf numFmtId="0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19" fillId="0" borderId="0" xfId="0" applyFont="1"/>
    <xf numFmtId="9" fontId="5" fillId="0" borderId="0" xfId="0" applyNumberFormat="1" applyFont="1" applyAlignment="1">
      <alignment horizontal="left" vertical="top"/>
    </xf>
    <xf numFmtId="0" fontId="26" fillId="0" borderId="0" xfId="0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4" fillId="0" borderId="14" xfId="0" applyFont="1" applyBorder="1" applyAlignment="1">
      <alignment horizontal="center"/>
    </xf>
    <xf numFmtId="0" fontId="5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vertical="justify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1" fontId="0" fillId="0" borderId="0" xfId="0" applyNumberFormat="1"/>
    <xf numFmtId="0" fontId="5" fillId="0" borderId="0" xfId="1" applyFont="1"/>
    <xf numFmtId="1" fontId="5" fillId="0" borderId="0" xfId="1" applyNumberFormat="1" applyFont="1" applyAlignment="1">
      <alignment horizontal="left"/>
    </xf>
    <xf numFmtId="1" fontId="5" fillId="0" borderId="0" xfId="1" applyNumberFormat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top"/>
    </xf>
    <xf numFmtId="0" fontId="5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1" fontId="5" fillId="0" borderId="0" xfId="1" applyNumberFormat="1" applyFont="1" applyAlignment="1">
      <alignment horizontal="right" vertical="top"/>
    </xf>
    <xf numFmtId="2" fontId="5" fillId="0" borderId="0" xfId="1" applyNumberFormat="1" applyFont="1" applyAlignment="1">
      <alignment horizontal="left" vertical="top"/>
    </xf>
    <xf numFmtId="2" fontId="5" fillId="0" borderId="0" xfId="1" applyNumberFormat="1" applyFont="1" applyAlignment="1">
      <alignment horizontal="right" vertical="top"/>
    </xf>
    <xf numFmtId="1" fontId="5" fillId="0" borderId="0" xfId="1" applyNumberFormat="1" applyFont="1" applyAlignment="1">
      <alignment vertical="center"/>
    </xf>
    <xf numFmtId="0" fontId="28" fillId="0" borderId="0" xfId="0" applyFont="1" applyAlignment="1"/>
    <xf numFmtId="165" fontId="8" fillId="0" borderId="0" xfId="0" applyNumberFormat="1" applyFont="1" applyBorder="1" applyAlignment="1">
      <alignment horizontal="left"/>
    </xf>
    <xf numFmtId="2" fontId="26" fillId="0" borderId="0" xfId="0" applyNumberFormat="1" applyFont="1" applyAlignment="1">
      <alignment horizontal="left"/>
    </xf>
    <xf numFmtId="1" fontId="26" fillId="0" borderId="0" xfId="0" applyNumberFormat="1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5" fillId="0" borderId="0" xfId="0" applyFont="1" applyAlignment="1">
      <alignment vertical="center" wrapText="1"/>
    </xf>
    <xf numFmtId="164" fontId="5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horizontal="right" vertical="top"/>
    </xf>
    <xf numFmtId="0" fontId="5" fillId="0" borderId="0" xfId="0" quotePrefix="1" applyFont="1" applyAlignment="1">
      <alignment horizontal="right" vertical="top"/>
    </xf>
    <xf numFmtId="0" fontId="26" fillId="0" borderId="0" xfId="0" applyFont="1" applyAlignment="1">
      <alignment vertical="top" wrapText="1"/>
    </xf>
    <xf numFmtId="0" fontId="5" fillId="0" borderId="10" xfId="0" applyFont="1" applyBorder="1" applyAlignment="1">
      <alignment vertical="top" wrapText="1"/>
    </xf>
    <xf numFmtId="1" fontId="5" fillId="0" borderId="1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justify"/>
    </xf>
    <xf numFmtId="0" fontId="4" fillId="0" borderId="0" xfId="0" applyFont="1" applyBorder="1" applyAlignment="1"/>
    <xf numFmtId="0" fontId="5" fillId="0" borderId="0" xfId="0" applyFont="1" applyBorder="1" applyAlignment="1">
      <alignment horizontal="left" vertical="justify"/>
    </xf>
    <xf numFmtId="1" fontId="5" fillId="0" borderId="0" xfId="1" applyNumberFormat="1" applyFont="1" applyBorder="1" applyAlignment="1">
      <alignment horizontal="left" vertical="justify"/>
    </xf>
    <xf numFmtId="0" fontId="5" fillId="0" borderId="0" xfId="1" applyFont="1" applyBorder="1"/>
    <xf numFmtId="0" fontId="1" fillId="0" borderId="0" xfId="0" applyFont="1" applyBorder="1"/>
    <xf numFmtId="0" fontId="33" fillId="0" borderId="0" xfId="0" applyFont="1" applyBorder="1" applyAlignment="1"/>
    <xf numFmtId="0" fontId="26" fillId="0" borderId="0" xfId="0" applyFont="1" applyBorder="1" applyAlignment="1">
      <alignment horizontal="left" vertical="top"/>
    </xf>
    <xf numFmtId="0" fontId="5" fillId="0" borderId="0" xfId="1" applyFont="1" applyAlignment="1">
      <alignment horizontal="left" vertical="center"/>
    </xf>
    <xf numFmtId="2" fontId="5" fillId="0" borderId="0" xfId="1" applyNumberFormat="1" applyFont="1" applyAlignment="1">
      <alignment horizontal="right" vertical="center"/>
    </xf>
    <xf numFmtId="2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center" vertical="top"/>
    </xf>
    <xf numFmtId="0" fontId="5" fillId="0" borderId="0" xfId="1" applyFont="1" applyBorder="1" applyAlignment="1">
      <alignment horizontal="left"/>
    </xf>
    <xf numFmtId="0" fontId="5" fillId="0" borderId="10" xfId="1" applyFont="1" applyBorder="1"/>
    <xf numFmtId="0" fontId="26" fillId="0" borderId="0" xfId="0" applyFont="1" applyBorder="1" applyAlignment="1">
      <alignment horizontal="left" vertical="justify"/>
    </xf>
    <xf numFmtId="0" fontId="26" fillId="0" borderId="0" xfId="0" applyFont="1" applyBorder="1" applyAlignment="1">
      <alignment vertical="justify"/>
    </xf>
    <xf numFmtId="1" fontId="1" fillId="0" borderId="0" xfId="0" applyNumberFormat="1" applyFont="1" applyBorder="1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" fontId="5" fillId="0" borderId="0" xfId="0" applyNumberFormat="1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center" vertical="top"/>
    </xf>
    <xf numFmtId="2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4" fillId="0" borderId="0" xfId="0" applyFont="1" applyFill="1" applyBorder="1"/>
    <xf numFmtId="2" fontId="5" fillId="0" borderId="0" xfId="0" applyNumberFormat="1" applyFont="1" applyAlignment="1"/>
    <xf numFmtId="1" fontId="5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36" fillId="0" borderId="0" xfId="0" applyFont="1"/>
    <xf numFmtId="166" fontId="37" fillId="0" borderId="0" xfId="0" applyNumberFormat="1" applyFont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2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2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left" vertical="center"/>
    </xf>
    <xf numFmtId="166" fontId="3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" fontId="3" fillId="0" borderId="0" xfId="0" applyNumberFormat="1" applyFont="1"/>
    <xf numFmtId="2" fontId="3" fillId="0" borderId="0" xfId="0" applyNumberFormat="1" applyFont="1"/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left"/>
    </xf>
    <xf numFmtId="0" fontId="35" fillId="0" borderId="0" xfId="0" applyFont="1"/>
    <xf numFmtId="2" fontId="5" fillId="0" borderId="14" xfId="0" applyNumberFormat="1" applyFont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2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1" fontId="5" fillId="0" borderId="0" xfId="0" applyNumberFormat="1" applyFont="1" applyFill="1" applyAlignment="1">
      <alignment horizontal="left" vertical="top"/>
    </xf>
    <xf numFmtId="2" fontId="5" fillId="0" borderId="0" xfId="0" applyNumberFormat="1" applyFont="1" applyFill="1" applyAlignment="1"/>
    <xf numFmtId="0" fontId="3" fillId="0" borderId="0" xfId="0" applyFont="1" applyFill="1" applyAlignment="1">
      <alignment horizontal="right"/>
    </xf>
    <xf numFmtId="2" fontId="3" fillId="0" borderId="0" xfId="0" applyNumberFormat="1" applyFont="1" applyFill="1"/>
    <xf numFmtId="1" fontId="19" fillId="0" borderId="10" xfId="0" applyNumberFormat="1" applyFont="1" applyBorder="1" applyAlignment="1"/>
    <xf numFmtId="0" fontId="10" fillId="0" borderId="0" xfId="0" applyFont="1" applyAlignment="1">
      <alignment horizontal="left" vertical="top" wrapText="1"/>
    </xf>
    <xf numFmtId="0" fontId="36" fillId="0" borderId="17" xfId="0" applyFont="1" applyBorder="1" applyAlignment="1">
      <alignment horizontal="center" vertical="center"/>
    </xf>
    <xf numFmtId="0" fontId="36" fillId="0" borderId="0" xfId="0" applyFont="1" applyAlignment="1">
      <alignment vertical="top"/>
    </xf>
    <xf numFmtId="0" fontId="36" fillId="0" borderId="1" xfId="0" applyFont="1" applyBorder="1" applyAlignment="1">
      <alignment horizontal="center" vertical="top"/>
    </xf>
    <xf numFmtId="0" fontId="36" fillId="0" borderId="11" xfId="0" applyFont="1" applyBorder="1" applyAlignment="1">
      <alignment horizontal="right" vertical="top"/>
    </xf>
    <xf numFmtId="1" fontId="36" fillId="0" borderId="13" xfId="0" applyNumberFormat="1" applyFont="1" applyBorder="1" applyAlignment="1">
      <alignment horizontal="center" vertical="top"/>
    </xf>
    <xf numFmtId="0" fontId="25" fillId="0" borderId="0" xfId="0" applyFont="1" applyAlignment="1">
      <alignment vertical="top"/>
    </xf>
    <xf numFmtId="0" fontId="25" fillId="0" borderId="1" xfId="0" applyFont="1" applyBorder="1" applyAlignment="1">
      <alignment vertical="top"/>
    </xf>
    <xf numFmtId="0" fontId="37" fillId="0" borderId="11" xfId="0" applyFont="1" applyBorder="1" applyAlignment="1">
      <alignment horizontal="right" vertical="top"/>
    </xf>
    <xf numFmtId="1" fontId="37" fillId="0" borderId="13" xfId="0" applyNumberFormat="1" applyFont="1" applyBorder="1" applyAlignment="1">
      <alignment horizontal="center" vertical="top"/>
    </xf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1" fontId="25" fillId="0" borderId="0" xfId="0" applyNumberFormat="1" applyFont="1" applyBorder="1" applyAlignment="1">
      <alignment horizontal="center"/>
    </xf>
    <xf numFmtId="1" fontId="37" fillId="0" borderId="0" xfId="0" applyNumberFormat="1" applyFont="1" applyBorder="1" applyAlignment="1">
      <alignment horizontal="center"/>
    </xf>
    <xf numFmtId="0" fontId="37" fillId="0" borderId="0" xfId="0" applyFont="1" applyBorder="1" applyAlignment="1">
      <alignment horizontal="center"/>
    </xf>
    <xf numFmtId="0" fontId="37" fillId="0" borderId="0" xfId="0" applyFont="1" applyBorder="1" applyAlignment="1">
      <alignment horizontal="right"/>
    </xf>
    <xf numFmtId="0" fontId="37" fillId="0" borderId="0" xfId="0" applyFont="1"/>
    <xf numFmtId="0" fontId="36" fillId="0" borderId="0" xfId="0" applyFont="1" applyBorder="1"/>
    <xf numFmtId="1" fontId="37" fillId="0" borderId="0" xfId="0" applyNumberFormat="1" applyFont="1" applyBorder="1" applyAlignment="1">
      <alignment horizontal="left"/>
    </xf>
    <xf numFmtId="0" fontId="36" fillId="0" borderId="0" xfId="0" quotePrefix="1" applyFont="1"/>
    <xf numFmtId="0" fontId="36" fillId="0" borderId="0" xfId="0" applyFont="1" applyAlignment="1">
      <alignment horizontal="left"/>
    </xf>
    <xf numFmtId="1" fontId="25" fillId="0" borderId="0" xfId="0" applyNumberFormat="1" applyFont="1" applyAlignment="1">
      <alignment vertical="top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0" fillId="0" borderId="5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0" fontId="18" fillId="0" borderId="9" xfId="0" applyFont="1" applyFill="1" applyBorder="1" applyAlignment="1">
      <alignment horizontal="center" vertical="top" wrapText="1"/>
    </xf>
    <xf numFmtId="0" fontId="13" fillId="0" borderId="5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right"/>
    </xf>
    <xf numFmtId="0" fontId="4" fillId="0" borderId="14" xfId="0" applyFont="1" applyBorder="1" applyAlignment="1">
      <alignment horizontal="left"/>
    </xf>
    <xf numFmtId="0" fontId="21" fillId="0" borderId="0" xfId="0" applyFont="1" applyAlignment="1">
      <alignment horizontal="left" vertical="center" wrapText="1"/>
    </xf>
    <xf numFmtId="9" fontId="4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" fontId="5" fillId="0" borderId="0" xfId="0" applyNumberFormat="1" applyFont="1" applyAlignment="1">
      <alignment horizontal="center"/>
    </xf>
    <xf numFmtId="0" fontId="36" fillId="0" borderId="0" xfId="0" applyFont="1" applyAlignment="1">
      <alignment horizontal="left"/>
    </xf>
    <xf numFmtId="0" fontId="37" fillId="0" borderId="1" xfId="0" applyFont="1" applyBorder="1" applyAlignment="1">
      <alignment horizontal="center" vertical="center"/>
    </xf>
    <xf numFmtId="0" fontId="36" fillId="0" borderId="11" xfId="0" applyFont="1" applyBorder="1" applyAlignment="1">
      <alignment horizontal="left" vertical="top"/>
    </xf>
    <xf numFmtId="0" fontId="36" fillId="0" borderId="12" xfId="0" applyFont="1" applyBorder="1" applyAlignment="1">
      <alignment horizontal="left" vertical="top"/>
    </xf>
    <xf numFmtId="0" fontId="36" fillId="0" borderId="13" xfId="0" applyFont="1" applyBorder="1" applyAlignment="1">
      <alignment horizontal="left" vertical="top"/>
    </xf>
    <xf numFmtId="1" fontId="36" fillId="0" borderId="1" xfId="0" applyNumberFormat="1" applyFont="1" applyBorder="1" applyAlignment="1">
      <alignment horizontal="center" vertical="top"/>
    </xf>
    <xf numFmtId="0" fontId="36" fillId="0" borderId="1" xfId="0" applyFont="1" applyBorder="1" applyAlignment="1">
      <alignment horizontal="center" vertical="top"/>
    </xf>
    <xf numFmtId="0" fontId="36" fillId="0" borderId="17" xfId="0" applyFont="1" applyBorder="1" applyAlignment="1">
      <alignment horizontal="center" vertical="center"/>
    </xf>
    <xf numFmtId="0" fontId="36" fillId="0" borderId="18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right" vertical="top"/>
    </xf>
    <xf numFmtId="0" fontId="26" fillId="0" borderId="12" xfId="0" applyFont="1" applyBorder="1" applyAlignment="1">
      <alignment horizontal="right" vertical="top"/>
    </xf>
    <xf numFmtId="0" fontId="26" fillId="0" borderId="13" xfId="0" applyFont="1" applyBorder="1" applyAlignment="1">
      <alignment horizontal="right" vertical="top"/>
    </xf>
    <xf numFmtId="1" fontId="26" fillId="0" borderId="1" xfId="0" applyNumberFormat="1" applyFont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1" fontId="37" fillId="0" borderId="1" xfId="0" applyNumberFormat="1" applyFont="1" applyBorder="1" applyAlignment="1">
      <alignment horizontal="center" vertical="top"/>
    </xf>
    <xf numFmtId="0" fontId="37" fillId="0" borderId="1" xfId="0" applyFont="1" applyBorder="1" applyAlignment="1">
      <alignment horizontal="center" vertical="top"/>
    </xf>
    <xf numFmtId="0" fontId="39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justify" wrapText="1"/>
    </xf>
    <xf numFmtId="0" fontId="5" fillId="0" borderId="0" xfId="1" applyFont="1" applyAlignment="1">
      <alignment horizontal="justify" vertical="justify"/>
    </xf>
    <xf numFmtId="0" fontId="0" fillId="0" borderId="0" xfId="0" applyBorder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 vertical="top" wrapText="1"/>
    </xf>
    <xf numFmtId="166" fontId="36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2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justify" vertical="justify"/>
    </xf>
    <xf numFmtId="0" fontId="38" fillId="0" borderId="1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justify" wrapText="1"/>
    </xf>
    <xf numFmtId="0" fontId="38" fillId="0" borderId="13" xfId="0" applyFont="1" applyBorder="1" applyAlignment="1">
      <alignment horizontal="center" vertical="justify" wrapText="1"/>
    </xf>
    <xf numFmtId="0" fontId="15" fillId="0" borderId="0" xfId="0" applyFont="1" applyAlignment="1">
      <alignment horizontal="left" vertical="center" wrapText="1"/>
    </xf>
    <xf numFmtId="1" fontId="26" fillId="0" borderId="0" xfId="0" applyNumberFormat="1" applyFont="1" applyAlignment="1">
      <alignment horizontal="center" vertical="top"/>
    </xf>
    <xf numFmtId="0" fontId="26" fillId="0" borderId="0" xfId="0" applyFont="1" applyAlignment="1">
      <alignment horizontal="center" vertical="top"/>
    </xf>
    <xf numFmtId="2" fontId="5" fillId="0" borderId="0" xfId="0" applyNumberFormat="1" applyFont="1" applyAlignment="1">
      <alignment horizontal="right" vertical="top"/>
    </xf>
    <xf numFmtId="1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 wrapText="1"/>
    </xf>
    <xf numFmtId="2" fontId="5" fillId="0" borderId="0" xfId="0" applyNumberFormat="1" applyFont="1" applyFill="1" applyAlignment="1">
      <alignment horizontal="center"/>
    </xf>
    <xf numFmtId="1" fontId="26" fillId="0" borderId="14" xfId="0" applyNumberFormat="1" applyFont="1" applyBorder="1" applyAlignment="1">
      <alignment horizontal="center"/>
    </xf>
    <xf numFmtId="0" fontId="26" fillId="0" borderId="14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466725</xdr:colOff>
      <xdr:row>23</xdr:row>
      <xdr:rowOff>304800</xdr:rowOff>
    </xdr:from>
    <xdr:to>
      <xdr:col>3</xdr:col>
      <xdr:colOff>542925</xdr:colOff>
      <xdr:row>23</xdr:row>
      <xdr:rowOff>504825</xdr:rowOff>
    </xdr:to>
    <xdr:sp macro="" textlink="">
      <xdr:nvSpPr>
        <xdr:cNvPr id="125274" name="Text Box 2"/>
        <xdr:cNvSpPr txBox="1">
          <a:spLocks noChangeArrowheads="1"/>
        </xdr:cNvSpPr>
      </xdr:nvSpPr>
      <xdr:spPr bwMode="auto">
        <a:xfrm>
          <a:off x="2295525" y="5114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7</xdr:row>
      <xdr:rowOff>0</xdr:rowOff>
    </xdr:from>
    <xdr:to>
      <xdr:col>5</xdr:col>
      <xdr:colOff>476250</xdr:colOff>
      <xdr:row>12</xdr:row>
      <xdr:rowOff>76200</xdr:rowOff>
    </xdr:to>
    <xdr:pic>
      <xdr:nvPicPr>
        <xdr:cNvPr id="12527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2700" y="1428750"/>
          <a:ext cx="11144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22</xdr:row>
      <xdr:rowOff>0</xdr:rowOff>
    </xdr:from>
    <xdr:to>
      <xdr:col>7</xdr:col>
      <xdr:colOff>0</xdr:colOff>
      <xdr:row>23</xdr:row>
      <xdr:rowOff>0</xdr:rowOff>
    </xdr:to>
    <xdr:cxnSp macro="">
      <xdr:nvCxnSpPr>
        <xdr:cNvPr id="133655" name="Straight Connector 2"/>
        <xdr:cNvCxnSpPr>
          <a:cxnSpLocks noChangeShapeType="1"/>
        </xdr:cNvCxnSpPr>
      </xdr:nvCxnSpPr>
      <xdr:spPr bwMode="auto">
        <a:xfrm rot="5400000">
          <a:off x="3776662" y="4176713"/>
          <a:ext cx="16192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6</xdr:col>
      <xdr:colOff>419100</xdr:colOff>
      <xdr:row>22</xdr:row>
      <xdr:rowOff>76200</xdr:rowOff>
    </xdr:from>
    <xdr:to>
      <xdr:col>6</xdr:col>
      <xdr:colOff>352425</xdr:colOff>
      <xdr:row>22</xdr:row>
      <xdr:rowOff>152400</xdr:rowOff>
    </xdr:to>
    <xdr:cxnSp macro="">
      <xdr:nvCxnSpPr>
        <xdr:cNvPr id="133656" name="Straight Connector 4"/>
        <xdr:cNvCxnSpPr>
          <a:cxnSpLocks noChangeShapeType="1"/>
        </xdr:cNvCxnSpPr>
      </xdr:nvCxnSpPr>
      <xdr:spPr bwMode="auto">
        <a:xfrm rot="10800000">
          <a:off x="3857625" y="4171950"/>
          <a:ext cx="0" cy="762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6</xdr:col>
      <xdr:colOff>228600</xdr:colOff>
      <xdr:row>22</xdr:row>
      <xdr:rowOff>28575</xdr:rowOff>
    </xdr:from>
    <xdr:to>
      <xdr:col>7</xdr:col>
      <xdr:colOff>9525</xdr:colOff>
      <xdr:row>23</xdr:row>
      <xdr:rowOff>38100</xdr:rowOff>
    </xdr:to>
    <xdr:cxnSp macro="">
      <xdr:nvCxnSpPr>
        <xdr:cNvPr id="133657" name="Straight Connector 9"/>
        <xdr:cNvCxnSpPr>
          <a:cxnSpLocks noChangeShapeType="1"/>
        </xdr:cNvCxnSpPr>
      </xdr:nvCxnSpPr>
      <xdr:spPr bwMode="auto">
        <a:xfrm rot="16200000" flipV="1">
          <a:off x="3714750" y="4143375"/>
          <a:ext cx="171450" cy="13335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0</xdr:col>
      <xdr:colOff>0</xdr:colOff>
      <xdr:row>78</xdr:row>
      <xdr:rowOff>0</xdr:rowOff>
    </xdr:from>
    <xdr:to>
      <xdr:col>9</xdr:col>
      <xdr:colOff>333375</xdr:colOff>
      <xdr:row>83</xdr:row>
      <xdr:rowOff>104775</xdr:rowOff>
    </xdr:to>
    <xdr:grpSp>
      <xdr:nvGrpSpPr>
        <xdr:cNvPr id="133658" name="Group 4"/>
        <xdr:cNvGrpSpPr>
          <a:grpSpLocks/>
        </xdr:cNvGrpSpPr>
      </xdr:nvGrpSpPr>
      <xdr:grpSpPr bwMode="auto">
        <a:xfrm>
          <a:off x="0" y="8791575"/>
          <a:ext cx="5057775" cy="914400"/>
          <a:chOff x="47625" y="5153025"/>
          <a:chExt cx="4953000" cy="914400"/>
        </a:xfrm>
      </xdr:grpSpPr>
      <xdr:sp macro="" textlink="">
        <xdr:nvSpPr>
          <xdr:cNvPr id="6" name="Text Box 1"/>
          <xdr:cNvSpPr txBox="1">
            <a:spLocks noChangeArrowheads="1"/>
          </xdr:cNvSpPr>
        </xdr:nvSpPr>
        <xdr:spPr bwMode="auto">
          <a:xfrm>
            <a:off x="47625" y="5153025"/>
            <a:ext cx="2481164" cy="8477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Johi</a:t>
            </a:r>
          </a:p>
          <a:p>
            <a:pPr algn="ctr" rtl="0">
              <a:defRPr sz="1000"/>
            </a:pPr>
            <a:endParaRPr lang="en-US" sz="12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7" name="Rectangle 1"/>
          <xdr:cNvSpPr>
            <a:spLocks noChangeArrowheads="1"/>
          </xdr:cNvSpPr>
        </xdr:nvSpPr>
        <xdr:spPr bwMode="auto">
          <a:xfrm>
            <a:off x="3209710" y="5248275"/>
            <a:ext cx="1790915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Dadu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224</xdr:row>
      <xdr:rowOff>0</xdr:rowOff>
    </xdr:from>
    <xdr:to>
      <xdr:col>14</xdr:col>
      <xdr:colOff>257175</xdr:colOff>
      <xdr:row>229</xdr:row>
      <xdr:rowOff>104775</xdr:rowOff>
    </xdr:to>
    <xdr:grpSp>
      <xdr:nvGrpSpPr>
        <xdr:cNvPr id="138471" name="Group 1"/>
        <xdr:cNvGrpSpPr>
          <a:grpSpLocks/>
        </xdr:cNvGrpSpPr>
      </xdr:nvGrpSpPr>
      <xdr:grpSpPr bwMode="auto">
        <a:xfrm>
          <a:off x="276225" y="36318825"/>
          <a:ext cx="4819650" cy="914400"/>
          <a:chOff x="47625" y="5153025"/>
          <a:chExt cx="4953000" cy="914400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47625" y="5153025"/>
            <a:ext cx="2481199" cy="8477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  <a:p>
            <a:pPr algn="ctr" rtl="0">
              <a:defRPr sz="1000"/>
            </a:pPr>
            <a:endParaRPr lang="en-US" sz="12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4" name="Rectangle 1"/>
          <xdr:cNvSpPr>
            <a:spLocks noChangeArrowheads="1"/>
          </xdr:cNvSpPr>
        </xdr:nvSpPr>
        <xdr:spPr bwMode="auto">
          <a:xfrm>
            <a:off x="3205515" y="5248275"/>
            <a:ext cx="1795110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17</xdr:row>
      <xdr:rowOff>47625</xdr:rowOff>
    </xdr:from>
    <xdr:to>
      <xdr:col>10</xdr:col>
      <xdr:colOff>762000</xdr:colOff>
      <xdr:row>20</xdr:row>
      <xdr:rowOff>85725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600700" y="4267200"/>
          <a:ext cx="24860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Assistant Engineer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Engg: Sub-Division-I 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Larkano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388</xdr:row>
      <xdr:rowOff>0</xdr:rowOff>
    </xdr:from>
    <xdr:to>
      <xdr:col>13</xdr:col>
      <xdr:colOff>190500</xdr:colOff>
      <xdr:row>392</xdr:row>
      <xdr:rowOff>114300</xdr:rowOff>
    </xdr:to>
    <xdr:grpSp>
      <xdr:nvGrpSpPr>
        <xdr:cNvPr id="135418" name="Group 1"/>
        <xdr:cNvGrpSpPr>
          <a:grpSpLocks/>
        </xdr:cNvGrpSpPr>
      </xdr:nvGrpSpPr>
      <xdr:grpSpPr bwMode="auto">
        <a:xfrm>
          <a:off x="514350" y="71399400"/>
          <a:ext cx="5076825" cy="914400"/>
          <a:chOff x="47625" y="5153025"/>
          <a:chExt cx="4953000" cy="914400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47625" y="5153025"/>
            <a:ext cx="2481146" cy="8477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</xdr:txBody>
      </xdr:sp>
      <xdr:sp macro="" textlink="">
        <xdr:nvSpPr>
          <xdr:cNvPr id="4" name="Rectangle 1"/>
          <xdr:cNvSpPr>
            <a:spLocks noChangeArrowheads="1"/>
          </xdr:cNvSpPr>
        </xdr:nvSpPr>
        <xdr:spPr bwMode="auto">
          <a:xfrm>
            <a:off x="3216430" y="5248275"/>
            <a:ext cx="1784195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16</xdr:row>
      <xdr:rowOff>0</xdr:rowOff>
    </xdr:from>
    <xdr:to>
      <xdr:col>9</xdr:col>
      <xdr:colOff>552450</xdr:colOff>
      <xdr:row>18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486275" y="4657725"/>
          <a:ext cx="24765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endParaRPr lang="en-US" sz="1100" b="0" i="1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Assistant Engineer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Public Health Engg: Sub-Divn: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Johi</a:t>
          </a:r>
        </a:p>
        <a:p>
          <a:pPr algn="ctr" rtl="0">
            <a:defRPr sz="1000"/>
          </a:pPr>
          <a:endParaRPr lang="en-US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238125</xdr:colOff>
      <xdr:row>17</xdr:row>
      <xdr:rowOff>0</xdr:rowOff>
    </xdr:from>
    <xdr:to>
      <xdr:col>10</xdr:col>
      <xdr:colOff>676275</xdr:colOff>
      <xdr:row>21</xdr:row>
      <xdr:rowOff>114300</xdr:rowOff>
    </xdr:to>
    <xdr:grpSp>
      <xdr:nvGrpSpPr>
        <xdr:cNvPr id="3" name="Group 1"/>
        <xdr:cNvGrpSpPr>
          <a:grpSpLocks/>
        </xdr:cNvGrpSpPr>
      </xdr:nvGrpSpPr>
      <xdr:grpSpPr bwMode="auto">
        <a:xfrm>
          <a:off x="638175" y="5200650"/>
          <a:ext cx="7362825" cy="876300"/>
          <a:chOff x="47625" y="5153025"/>
          <a:chExt cx="4004877" cy="914400"/>
        </a:xfrm>
      </xdr:grpSpPr>
      <xdr:sp macro="" textlink="">
        <xdr:nvSpPr>
          <xdr:cNvPr id="4" name="Text Box 1"/>
          <xdr:cNvSpPr txBox="1">
            <a:spLocks noChangeArrowheads="1"/>
          </xdr:cNvSpPr>
        </xdr:nvSpPr>
        <xdr:spPr bwMode="auto">
          <a:xfrm>
            <a:off x="47625" y="5153025"/>
            <a:ext cx="2481146" cy="8477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</xdr:txBody>
      </xdr:sp>
      <xdr:sp macro="" textlink="">
        <xdr:nvSpPr>
          <xdr:cNvPr id="5" name="Rectangle 1"/>
          <xdr:cNvSpPr>
            <a:spLocks noChangeArrowheads="1"/>
          </xdr:cNvSpPr>
        </xdr:nvSpPr>
        <xdr:spPr bwMode="auto">
          <a:xfrm>
            <a:off x="2268310" y="5248275"/>
            <a:ext cx="1784192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147</xdr:row>
      <xdr:rowOff>0</xdr:rowOff>
    </xdr:from>
    <xdr:to>
      <xdr:col>13</xdr:col>
      <xdr:colOff>190500</xdr:colOff>
      <xdr:row>152</xdr:row>
      <xdr:rowOff>47625</xdr:rowOff>
    </xdr:to>
    <xdr:grpSp>
      <xdr:nvGrpSpPr>
        <xdr:cNvPr id="4" name="Group 1"/>
        <xdr:cNvGrpSpPr>
          <a:grpSpLocks/>
        </xdr:cNvGrpSpPr>
      </xdr:nvGrpSpPr>
      <xdr:grpSpPr bwMode="auto">
        <a:xfrm>
          <a:off x="514350" y="23488650"/>
          <a:ext cx="4829175" cy="857250"/>
          <a:chOff x="47625" y="5153025"/>
          <a:chExt cx="4953000" cy="1028700"/>
        </a:xfrm>
      </xdr:grpSpPr>
      <xdr:sp macro="" textlink="">
        <xdr:nvSpPr>
          <xdr:cNvPr id="5" name="Text Box 1"/>
          <xdr:cNvSpPr txBox="1">
            <a:spLocks noChangeArrowheads="1"/>
          </xdr:cNvSpPr>
        </xdr:nvSpPr>
        <xdr:spPr bwMode="auto">
          <a:xfrm>
            <a:off x="47625" y="5153025"/>
            <a:ext cx="2481146" cy="10287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</xdr:txBody>
      </xdr:sp>
      <xdr:sp macro="" textlink="">
        <xdr:nvSpPr>
          <xdr:cNvPr id="6" name="Rectangle 1"/>
          <xdr:cNvSpPr>
            <a:spLocks noChangeArrowheads="1"/>
          </xdr:cNvSpPr>
        </xdr:nvSpPr>
        <xdr:spPr bwMode="auto">
          <a:xfrm>
            <a:off x="3216430" y="5248275"/>
            <a:ext cx="1784195" cy="876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16</xdr:row>
      <xdr:rowOff>66675</xdr:rowOff>
    </xdr:from>
    <xdr:to>
      <xdr:col>10</xdr:col>
      <xdr:colOff>742950</xdr:colOff>
      <xdr:row>19</xdr:row>
      <xdr:rowOff>104775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581650" y="4286250"/>
          <a:ext cx="248602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Assistant Engineer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Engg: Sub-Division </a:t>
          </a:r>
        </a:p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Johi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400</xdr:row>
      <xdr:rowOff>9525</xdr:rowOff>
    </xdr:from>
    <xdr:to>
      <xdr:col>14</xdr:col>
      <xdr:colOff>419100</xdr:colOff>
      <xdr:row>402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3467100" y="19326225"/>
          <a:ext cx="23241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L%20ESTIMATES%20OF%20NEW%20RATES%202012-13/NEW%20RATES%202012-13/TALUKA%20DADU/DISPOSAL%20WORK%20AT%20Dadu%20city%20%20PROVINCI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Sheet4"/>
      <sheetName val="Cover "/>
      <sheetName val="FACE SHEET"/>
      <sheetName val="ABSTRACT"/>
      <sheetName val="DISPOSAL WORK"/>
      <sheetName val="M.stat"/>
      <sheetName val="P.House (1)"/>
      <sheetName val="P.Mat (1)"/>
      <sheetName val="Drains"/>
      <sheetName val="Material"/>
      <sheetName val="Drains (2)"/>
      <sheetName val="Material (2)"/>
      <sheetName val="lead chart"/>
      <sheetName val="schedule -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1">
          <cell r="B11" t="str">
            <v xml:space="preserve">Hill Sand From Bolhari      </v>
          </cell>
        </row>
        <row r="19">
          <cell r="B19" t="str">
            <v xml:space="preserve">Bajri Shingle from Laki  </v>
          </cell>
        </row>
        <row r="27">
          <cell r="B27" t="str">
            <v xml:space="preserve">Stone From Amri    </v>
          </cell>
        </row>
        <row r="35">
          <cell r="B35" t="str">
            <v xml:space="preserve">Bricks 1000 No. </v>
          </cell>
        </row>
        <row r="43">
          <cell r="B43" t="str">
            <v xml:space="preserve">Cement From Zeel Pak Hyderabad  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opLeftCell="A22" workbookViewId="0">
      <selection activeCell="A24" sqref="A24:J24"/>
    </sheetView>
  </sheetViews>
  <sheetFormatPr defaultRowHeight="12.75"/>
  <cols>
    <col min="5" max="5" width="11.28515625" customWidth="1"/>
    <col min="8" max="8" width="4.42578125" customWidth="1"/>
    <col min="10" max="10" width="12.42578125" customWidth="1"/>
  </cols>
  <sheetData>
    <row r="1" spans="1:10" ht="13.5" thickTop="1">
      <c r="A1" s="26"/>
      <c r="B1" s="27"/>
      <c r="C1" s="27"/>
      <c r="D1" s="27"/>
      <c r="E1" s="27"/>
      <c r="F1" s="27"/>
      <c r="G1" s="27"/>
      <c r="H1" s="27"/>
      <c r="I1" s="27"/>
      <c r="J1" s="28"/>
    </row>
    <row r="2" spans="1:10">
      <c r="A2" s="29"/>
      <c r="B2" s="30"/>
      <c r="C2" s="30"/>
      <c r="D2" s="30"/>
      <c r="E2" s="30"/>
      <c r="F2" s="30"/>
      <c r="G2" s="30"/>
      <c r="H2" s="30"/>
      <c r="I2" s="30"/>
      <c r="J2" s="31"/>
    </row>
    <row r="3" spans="1:10" ht="24.75" customHeight="1">
      <c r="A3" s="293" t="s">
        <v>35</v>
      </c>
      <c r="B3" s="294"/>
      <c r="C3" s="294"/>
      <c r="D3" s="294"/>
      <c r="E3" s="294"/>
      <c r="F3" s="294"/>
      <c r="G3" s="294"/>
      <c r="H3" s="294"/>
      <c r="I3" s="294"/>
      <c r="J3" s="295"/>
    </row>
    <row r="4" spans="1:10" ht="18">
      <c r="A4" s="293" t="s">
        <v>289</v>
      </c>
      <c r="B4" s="294"/>
      <c r="C4" s="294"/>
      <c r="D4" s="294"/>
      <c r="E4" s="294"/>
      <c r="F4" s="294"/>
      <c r="G4" s="294"/>
      <c r="H4" s="294"/>
      <c r="I4" s="294"/>
      <c r="J4" s="295"/>
    </row>
    <row r="5" spans="1:10" ht="18">
      <c r="A5" s="293"/>
      <c r="B5" s="294"/>
      <c r="C5" s="294"/>
      <c r="D5" s="294"/>
      <c r="E5" s="294"/>
      <c r="F5" s="294"/>
      <c r="G5" s="294"/>
      <c r="H5" s="294"/>
      <c r="I5" s="294"/>
      <c r="J5" s="295"/>
    </row>
    <row r="6" spans="1:10">
      <c r="A6" s="29"/>
      <c r="B6" s="30"/>
      <c r="C6" s="30"/>
      <c r="D6" s="30"/>
      <c r="E6" s="30"/>
      <c r="F6" s="30"/>
      <c r="G6" s="30"/>
      <c r="H6" s="30"/>
      <c r="I6" s="30"/>
      <c r="J6" s="31"/>
    </row>
    <row r="7" spans="1:10">
      <c r="A7" s="29"/>
      <c r="B7" s="30"/>
      <c r="C7" s="30"/>
      <c r="D7" s="30"/>
      <c r="E7" s="30"/>
      <c r="F7" s="30"/>
      <c r="G7" s="30"/>
      <c r="H7" s="30"/>
      <c r="I7" s="30"/>
      <c r="J7" s="31"/>
    </row>
    <row r="8" spans="1:10">
      <c r="A8" s="29"/>
      <c r="B8" s="30"/>
      <c r="C8" s="30"/>
      <c r="D8" s="30"/>
      <c r="E8" s="30"/>
      <c r="F8" s="30"/>
      <c r="G8" s="30"/>
      <c r="H8" s="30"/>
      <c r="I8" s="30"/>
      <c r="J8" s="31"/>
    </row>
    <row r="9" spans="1:10">
      <c r="A9" s="29"/>
      <c r="B9" s="30"/>
      <c r="C9" s="30"/>
      <c r="D9" s="30"/>
      <c r="E9" s="30"/>
      <c r="F9" s="30"/>
      <c r="G9" s="30"/>
      <c r="H9" s="30"/>
      <c r="I9" s="30"/>
      <c r="J9" s="31"/>
    </row>
    <row r="10" spans="1:10">
      <c r="A10" s="29"/>
      <c r="B10" s="30"/>
      <c r="C10" s="30"/>
      <c r="D10" s="30"/>
      <c r="E10" s="30"/>
      <c r="F10" s="30"/>
      <c r="G10" s="30"/>
      <c r="H10" s="30"/>
      <c r="I10" s="30"/>
      <c r="J10" s="31"/>
    </row>
    <row r="11" spans="1:10">
      <c r="A11" s="29"/>
      <c r="B11" s="30"/>
      <c r="C11" s="30"/>
      <c r="D11" s="30"/>
      <c r="E11" s="30"/>
      <c r="F11" s="30"/>
      <c r="G11" s="30"/>
      <c r="H11" s="30"/>
      <c r="I11" s="30"/>
      <c r="J11" s="31"/>
    </row>
    <row r="12" spans="1:10">
      <c r="A12" s="29"/>
      <c r="B12" s="30"/>
      <c r="C12" s="30"/>
      <c r="D12" s="30"/>
      <c r="E12" s="30"/>
      <c r="F12" s="30"/>
      <c r="G12" s="30"/>
      <c r="H12" s="30"/>
      <c r="I12" s="30"/>
      <c r="J12" s="31"/>
    </row>
    <row r="13" spans="1:10">
      <c r="A13" s="29"/>
      <c r="B13" s="30"/>
      <c r="C13" s="30"/>
      <c r="D13" s="30"/>
      <c r="E13" s="30"/>
      <c r="F13" s="30"/>
      <c r="G13" s="30"/>
      <c r="H13" s="30"/>
      <c r="I13" s="30"/>
      <c r="J13" s="31"/>
    </row>
    <row r="14" spans="1:10">
      <c r="A14" s="29"/>
      <c r="B14" s="30"/>
      <c r="C14" s="30"/>
      <c r="D14" s="30"/>
      <c r="E14" s="30"/>
      <c r="F14" s="30"/>
      <c r="G14" s="30"/>
      <c r="H14" s="30"/>
      <c r="I14" s="30"/>
      <c r="J14" s="31"/>
    </row>
    <row r="15" spans="1:10">
      <c r="A15" s="29"/>
      <c r="B15" s="30"/>
      <c r="C15" s="30"/>
      <c r="D15" s="30"/>
      <c r="E15" s="30"/>
      <c r="F15" s="30"/>
      <c r="G15" s="30"/>
      <c r="H15" s="30"/>
      <c r="I15" s="30"/>
      <c r="J15" s="31"/>
    </row>
    <row r="16" spans="1:10">
      <c r="A16" s="29"/>
      <c r="B16" s="30"/>
      <c r="C16" s="30"/>
      <c r="D16" s="30"/>
      <c r="E16" s="30"/>
      <c r="F16" s="30"/>
      <c r="G16" s="30"/>
      <c r="H16" s="30"/>
      <c r="I16" s="30"/>
      <c r="J16" s="31"/>
    </row>
    <row r="17" spans="1:10">
      <c r="A17" s="29"/>
      <c r="B17" s="30"/>
      <c r="C17" s="30"/>
      <c r="D17" s="30"/>
      <c r="E17" s="30"/>
      <c r="F17" s="30"/>
      <c r="G17" s="30"/>
      <c r="H17" s="30"/>
      <c r="I17" s="30"/>
      <c r="J17" s="31"/>
    </row>
    <row r="18" spans="1:10">
      <c r="A18" s="29"/>
      <c r="B18" s="30"/>
      <c r="C18" s="30"/>
      <c r="D18" s="30"/>
      <c r="E18" s="30"/>
      <c r="F18" s="30"/>
      <c r="G18" s="30"/>
      <c r="H18" s="30"/>
      <c r="I18" s="30"/>
      <c r="J18" s="31"/>
    </row>
    <row r="19" spans="1:10" ht="37.5" customHeight="1">
      <c r="A19" s="287" t="e">
        <f>#REF!</f>
        <v>#REF!</v>
      </c>
      <c r="B19" s="288"/>
      <c r="C19" s="288"/>
      <c r="D19" s="288"/>
      <c r="E19" s="288"/>
      <c r="F19" s="288"/>
      <c r="G19" s="288"/>
      <c r="H19" s="288"/>
      <c r="I19" s="288"/>
      <c r="J19" s="289"/>
    </row>
    <row r="20" spans="1:10" ht="15">
      <c r="A20" s="53"/>
      <c r="B20" s="54"/>
      <c r="C20" s="55"/>
      <c r="D20" s="55"/>
      <c r="E20" s="55"/>
      <c r="F20" s="55"/>
      <c r="G20" s="55"/>
      <c r="H20" s="55"/>
      <c r="I20" s="55"/>
      <c r="J20" s="56"/>
    </row>
    <row r="21" spans="1:10" ht="39" customHeight="1">
      <c r="A21" s="287" t="e">
        <f>#REF!</f>
        <v>#REF!</v>
      </c>
      <c r="B21" s="288"/>
      <c r="C21" s="288"/>
      <c r="D21" s="288"/>
      <c r="E21" s="288"/>
      <c r="F21" s="288"/>
      <c r="G21" s="288"/>
      <c r="H21" s="288"/>
      <c r="I21" s="288"/>
      <c r="J21" s="289"/>
    </row>
    <row r="22" spans="1:10" ht="18.75" thickBot="1">
      <c r="A22" s="32"/>
      <c r="B22" s="33"/>
      <c r="C22" s="33"/>
      <c r="D22" s="33"/>
      <c r="E22" s="33"/>
      <c r="F22" s="33"/>
      <c r="G22" s="33"/>
      <c r="H22" s="33"/>
      <c r="I22" s="33"/>
      <c r="J22" s="34"/>
    </row>
    <row r="23" spans="1:10" ht="15.75" thickTop="1">
      <c r="A23" s="296" t="e">
        <f>#REF!</f>
        <v>#REF!</v>
      </c>
      <c r="B23" s="297"/>
      <c r="C23" s="297"/>
      <c r="D23" s="297"/>
      <c r="E23" s="297"/>
      <c r="F23" s="297"/>
      <c r="G23" s="297"/>
      <c r="H23" s="297"/>
      <c r="I23" s="297"/>
      <c r="J23" s="298"/>
    </row>
    <row r="24" spans="1:10" ht="79.5" customHeight="1" thickBot="1">
      <c r="A24" s="290" t="e">
        <f>#REF!</f>
        <v>#REF!</v>
      </c>
      <c r="B24" s="291"/>
      <c r="C24" s="291"/>
      <c r="D24" s="291"/>
      <c r="E24" s="291"/>
      <c r="F24" s="291"/>
      <c r="G24" s="291"/>
      <c r="H24" s="291"/>
      <c r="I24" s="291"/>
      <c r="J24" s="292"/>
    </row>
    <row r="25" spans="1:10" ht="13.5" thickTop="1">
      <c r="A25" s="29"/>
      <c r="B25" s="30"/>
      <c r="C25" s="30"/>
      <c r="D25" s="30"/>
      <c r="E25" s="30"/>
      <c r="F25" s="30"/>
      <c r="G25" s="30"/>
      <c r="H25" s="30"/>
      <c r="I25" s="30"/>
      <c r="J25" s="31"/>
    </row>
    <row r="26" spans="1:10">
      <c r="A26" s="29"/>
      <c r="B26" s="30"/>
      <c r="C26" s="30"/>
      <c r="D26" s="30"/>
      <c r="E26" s="30"/>
      <c r="F26" s="30"/>
      <c r="G26" s="30"/>
      <c r="H26" s="30"/>
      <c r="I26" s="30"/>
      <c r="J26" s="31"/>
    </row>
    <row r="27" spans="1:10">
      <c r="A27" s="29"/>
      <c r="B27" s="30"/>
      <c r="C27" s="30"/>
      <c r="D27" s="30"/>
      <c r="E27" s="30"/>
      <c r="F27" s="30"/>
      <c r="G27" s="30"/>
      <c r="H27" s="30"/>
      <c r="I27" s="30"/>
      <c r="J27" s="31"/>
    </row>
    <row r="28" spans="1:10">
      <c r="A28" s="29"/>
      <c r="B28" s="30"/>
      <c r="C28" s="30"/>
      <c r="D28" s="30"/>
      <c r="E28" s="30"/>
      <c r="F28" s="30"/>
      <c r="G28" s="30"/>
      <c r="H28" s="30"/>
      <c r="I28" s="30"/>
      <c r="J28" s="31"/>
    </row>
    <row r="29" spans="1:10">
      <c r="A29" s="29"/>
      <c r="B29" s="30"/>
      <c r="C29" s="30"/>
      <c r="D29" s="30"/>
      <c r="E29" s="30"/>
      <c r="F29" s="30"/>
      <c r="G29" s="30"/>
      <c r="H29" s="30"/>
      <c r="I29" s="30"/>
      <c r="J29" s="31"/>
    </row>
    <row r="30" spans="1:10" ht="15.75">
      <c r="A30" s="29"/>
      <c r="B30" s="30"/>
      <c r="C30" s="30"/>
      <c r="D30" s="30"/>
      <c r="E30" s="30"/>
      <c r="F30" s="35" t="s">
        <v>30</v>
      </c>
      <c r="G30" s="35"/>
      <c r="H30" s="35" t="s">
        <v>7</v>
      </c>
      <c r="I30" s="171" t="e">
        <f>#REF!</f>
        <v>#REF!</v>
      </c>
      <c r="J30" s="31"/>
    </row>
    <row r="31" spans="1:10">
      <c r="A31" s="29"/>
      <c r="B31" s="30"/>
      <c r="C31" s="30"/>
      <c r="D31" s="30"/>
      <c r="E31" s="30"/>
      <c r="F31" s="30"/>
      <c r="G31" s="30"/>
      <c r="H31" s="30"/>
      <c r="I31" s="30"/>
      <c r="J31" s="31"/>
    </row>
    <row r="32" spans="1:10">
      <c r="A32" s="29"/>
      <c r="B32" s="30"/>
      <c r="C32" s="30"/>
      <c r="D32" s="30"/>
      <c r="E32" s="30"/>
      <c r="F32" s="30"/>
      <c r="G32" s="30"/>
      <c r="H32" s="30"/>
      <c r="I32" s="30"/>
      <c r="J32" s="31"/>
    </row>
    <row r="33" spans="1:10">
      <c r="A33" s="29"/>
      <c r="B33" s="30"/>
      <c r="C33" s="30"/>
      <c r="D33" s="30"/>
      <c r="E33" s="30"/>
      <c r="F33" s="30"/>
      <c r="G33" s="30"/>
      <c r="H33" s="30"/>
      <c r="I33" s="30"/>
      <c r="J33" s="31"/>
    </row>
    <row r="34" spans="1:10">
      <c r="A34" s="29"/>
      <c r="B34" s="30"/>
      <c r="C34" s="30"/>
      <c r="D34" s="30"/>
      <c r="E34" s="30"/>
      <c r="F34" s="30"/>
      <c r="G34" s="30"/>
      <c r="H34" s="30"/>
      <c r="I34" s="30"/>
      <c r="J34" s="31"/>
    </row>
    <row r="35" spans="1:10">
      <c r="A35" s="29"/>
      <c r="B35" s="30"/>
      <c r="C35" s="30"/>
      <c r="D35" s="30"/>
      <c r="E35" s="30"/>
      <c r="F35" s="30"/>
      <c r="G35" s="30"/>
      <c r="H35" s="30"/>
      <c r="I35" s="30"/>
      <c r="J35" s="31"/>
    </row>
    <row r="36" spans="1:10">
      <c r="A36" s="29"/>
      <c r="B36" s="30"/>
      <c r="C36" s="30"/>
      <c r="D36" s="30"/>
      <c r="E36" s="30"/>
      <c r="F36" s="30"/>
      <c r="G36" s="30"/>
      <c r="H36" s="30"/>
      <c r="I36" s="30"/>
      <c r="J36" s="31"/>
    </row>
    <row r="37" spans="1:10">
      <c r="A37" s="29"/>
      <c r="B37" s="30"/>
      <c r="C37" s="30"/>
      <c r="D37" s="30"/>
      <c r="E37" s="30"/>
      <c r="F37" s="30"/>
      <c r="G37" s="30"/>
      <c r="H37" s="30"/>
      <c r="I37" s="30"/>
      <c r="J37" s="31"/>
    </row>
    <row r="38" spans="1:10">
      <c r="A38" s="29"/>
      <c r="B38" s="30"/>
      <c r="C38" s="30"/>
      <c r="D38" s="30"/>
      <c r="E38" s="30"/>
      <c r="F38" s="30"/>
      <c r="G38" s="30"/>
      <c r="H38" s="30"/>
      <c r="I38" s="30"/>
      <c r="J38" s="31"/>
    </row>
    <row r="39" spans="1:10" ht="15.75">
      <c r="A39" s="284" t="s">
        <v>290</v>
      </c>
      <c r="B39" s="285"/>
      <c r="C39" s="285"/>
      <c r="D39" s="285"/>
      <c r="E39" s="285"/>
      <c r="F39" s="285"/>
      <c r="G39" s="285"/>
      <c r="H39" s="285"/>
      <c r="I39" s="285"/>
      <c r="J39" s="286"/>
    </row>
    <row r="40" spans="1:10" ht="15.75">
      <c r="A40" s="284" t="s">
        <v>291</v>
      </c>
      <c r="B40" s="285"/>
      <c r="C40" s="285"/>
      <c r="D40" s="285"/>
      <c r="E40" s="285"/>
      <c r="F40" s="285"/>
      <c r="G40" s="285"/>
      <c r="H40" s="285"/>
      <c r="I40" s="285"/>
      <c r="J40" s="286"/>
    </row>
    <row r="41" spans="1:10">
      <c r="A41" s="29"/>
      <c r="B41" s="30"/>
      <c r="C41" s="30"/>
      <c r="D41" s="30"/>
      <c r="E41" s="30"/>
      <c r="F41" s="30"/>
      <c r="G41" s="30"/>
      <c r="H41" s="30"/>
      <c r="I41" s="30"/>
      <c r="J41" s="31"/>
    </row>
    <row r="42" spans="1:10">
      <c r="A42" s="29"/>
      <c r="B42" s="30"/>
      <c r="C42" s="30"/>
      <c r="D42" s="30"/>
      <c r="E42" s="30"/>
      <c r="F42" s="30"/>
      <c r="G42" s="30"/>
      <c r="H42" s="30"/>
      <c r="I42" s="30"/>
      <c r="J42" s="31"/>
    </row>
    <row r="43" spans="1:10" ht="13.5" thickBot="1">
      <c r="A43" s="36"/>
      <c r="B43" s="37"/>
      <c r="C43" s="37"/>
      <c r="D43" s="37"/>
      <c r="E43" s="37"/>
      <c r="F43" s="37"/>
      <c r="G43" s="37"/>
      <c r="H43" s="37"/>
      <c r="I43" s="37"/>
      <c r="J43" s="38"/>
    </row>
    <row r="44" spans="1:10" ht="13.5" thickTop="1"/>
  </sheetData>
  <mergeCells count="9">
    <mergeCell ref="A39:J39"/>
    <mergeCell ref="A40:J40"/>
    <mergeCell ref="A21:J21"/>
    <mergeCell ref="A24:J24"/>
    <mergeCell ref="A3:J3"/>
    <mergeCell ref="A4:J4"/>
    <mergeCell ref="A5:J5"/>
    <mergeCell ref="A19:J19"/>
    <mergeCell ref="A23:J23"/>
  </mergeCells>
  <phoneticPr fontId="0" type="noConversion"/>
  <printOptions horizontalCentered="1"/>
  <pageMargins left="0.55000000000000004" right="0.51" top="0.82" bottom="0.76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8"/>
  <sheetViews>
    <sheetView topLeftCell="A46" workbookViewId="0">
      <selection activeCell="E90" sqref="E90"/>
    </sheetView>
  </sheetViews>
  <sheetFormatPr defaultRowHeight="12.75"/>
  <cols>
    <col min="1" max="1" width="10.7109375" customWidth="1"/>
    <col min="5" max="5" width="5.28515625" customWidth="1"/>
    <col min="7" max="7" width="5.28515625" customWidth="1"/>
    <col min="9" max="9" width="3.85546875" customWidth="1"/>
    <col min="10" max="10" width="8.42578125" customWidth="1"/>
    <col min="12" max="12" width="0.85546875" customWidth="1"/>
  </cols>
  <sheetData>
    <row r="1" spans="1:12" s="125" customFormat="1" ht="57" customHeight="1">
      <c r="A1" s="300" t="e">
        <f>#REF!</f>
        <v>#REF!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</row>
    <row r="2" spans="1:12" s="125" customFormat="1" ht="10.5" customHeight="1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3" spans="1:12">
      <c r="A3" s="76" t="s">
        <v>303</v>
      </c>
    </row>
    <row r="4" spans="1:12">
      <c r="A4" s="7" t="s">
        <v>304</v>
      </c>
      <c r="J4">
        <v>281</v>
      </c>
      <c r="K4" t="s">
        <v>305</v>
      </c>
    </row>
    <row r="5" spans="1:12">
      <c r="A5" s="7" t="s">
        <v>306</v>
      </c>
      <c r="J5">
        <v>68</v>
      </c>
      <c r="K5" s="7" t="s">
        <v>217</v>
      </c>
    </row>
    <row r="6" spans="1:12">
      <c r="A6" s="7" t="s">
        <v>216</v>
      </c>
      <c r="D6" s="1">
        <f>J4</f>
        <v>281</v>
      </c>
      <c r="E6" s="57" t="s">
        <v>4</v>
      </c>
      <c r="F6" s="1">
        <f>J5</f>
        <v>68</v>
      </c>
      <c r="G6" s="57" t="s">
        <v>38</v>
      </c>
      <c r="H6" s="1"/>
      <c r="I6" s="1"/>
      <c r="J6" s="1">
        <f>D6*F6</f>
        <v>19108</v>
      </c>
      <c r="K6" s="7" t="s">
        <v>217</v>
      </c>
    </row>
    <row r="7" spans="1:12">
      <c r="A7" s="7"/>
      <c r="D7" s="1"/>
      <c r="E7" s="57"/>
      <c r="F7" s="1"/>
      <c r="G7" s="57"/>
      <c r="H7" s="1"/>
      <c r="I7" s="1"/>
      <c r="J7" s="1"/>
      <c r="K7" s="7"/>
    </row>
    <row r="8" spans="1:12">
      <c r="A8" s="7" t="s">
        <v>218</v>
      </c>
      <c r="D8" s="1"/>
      <c r="E8" s="57"/>
      <c r="F8" s="1"/>
      <c r="G8" s="57" t="s">
        <v>38</v>
      </c>
      <c r="H8" s="1"/>
      <c r="I8" s="1"/>
      <c r="J8" s="1">
        <v>30</v>
      </c>
      <c r="K8" s="7" t="s">
        <v>219</v>
      </c>
    </row>
    <row r="9" spans="1:12">
      <c r="A9" s="7"/>
      <c r="D9" s="1"/>
      <c r="E9" s="57"/>
      <c r="F9" s="1"/>
      <c r="G9" s="57"/>
      <c r="H9" s="1"/>
      <c r="I9" s="1"/>
      <c r="J9" s="1"/>
      <c r="K9" s="7"/>
    </row>
    <row r="10" spans="1:12">
      <c r="A10" s="7" t="s">
        <v>220</v>
      </c>
      <c r="D10" s="1">
        <f>J6</f>
        <v>19108</v>
      </c>
      <c r="E10" s="57" t="s">
        <v>4</v>
      </c>
      <c r="F10" s="1">
        <f>J8</f>
        <v>30</v>
      </c>
      <c r="G10" s="57" t="s">
        <v>4</v>
      </c>
      <c r="H10" s="126">
        <v>0.8</v>
      </c>
      <c r="I10" s="121" t="s">
        <v>38</v>
      </c>
      <c r="J10" s="1">
        <f>D10*F10*H10</f>
        <v>458592</v>
      </c>
      <c r="K10" s="7" t="s">
        <v>221</v>
      </c>
    </row>
    <row r="11" spans="1:12">
      <c r="A11" s="76"/>
      <c r="D11" s="1"/>
      <c r="E11" s="1"/>
      <c r="F11" s="1"/>
      <c r="G11" s="1"/>
      <c r="H11" s="1"/>
      <c r="I11" s="1"/>
      <c r="J11" s="1"/>
    </row>
    <row r="12" spans="1:12">
      <c r="A12" s="7" t="s">
        <v>222</v>
      </c>
      <c r="D12" s="1">
        <f>J10</f>
        <v>458592</v>
      </c>
      <c r="E12" s="57" t="s">
        <v>4</v>
      </c>
      <c r="F12" s="1">
        <v>3</v>
      </c>
      <c r="G12" s="57" t="s">
        <v>40</v>
      </c>
      <c r="H12" s="1">
        <v>24</v>
      </c>
      <c r="I12" s="57" t="s">
        <v>38</v>
      </c>
      <c r="J12" s="1">
        <f>(D12*F12)/H12</f>
        <v>57324</v>
      </c>
      <c r="K12" s="7" t="s">
        <v>221</v>
      </c>
    </row>
    <row r="13" spans="1:12">
      <c r="A13" s="7"/>
      <c r="D13" s="1"/>
      <c r="E13" s="57"/>
      <c r="F13" s="1"/>
      <c r="G13" s="57"/>
      <c r="H13" s="1"/>
      <c r="I13" s="57"/>
      <c r="J13" s="1"/>
      <c r="K13" s="7"/>
    </row>
    <row r="14" spans="1:12">
      <c r="A14" s="7" t="s">
        <v>227</v>
      </c>
      <c r="D14" s="1"/>
      <c r="E14" s="1"/>
      <c r="F14" s="1"/>
      <c r="G14" s="1"/>
      <c r="H14" s="1"/>
      <c r="I14" s="1"/>
      <c r="J14" s="1">
        <v>6</v>
      </c>
      <c r="K14" s="7" t="s">
        <v>223</v>
      </c>
    </row>
    <row r="15" spans="1:12">
      <c r="A15" s="7"/>
      <c r="D15" s="1"/>
      <c r="E15" s="1"/>
      <c r="F15" s="1"/>
      <c r="G15" s="1"/>
      <c r="H15" s="1"/>
      <c r="I15" s="1"/>
      <c r="J15" s="1"/>
      <c r="K15" s="7"/>
    </row>
    <row r="16" spans="1:12">
      <c r="A16" s="7" t="s">
        <v>224</v>
      </c>
      <c r="D16" s="122">
        <f>J12</f>
        <v>57324</v>
      </c>
      <c r="E16" s="123" t="s">
        <v>4</v>
      </c>
      <c r="F16" s="122">
        <v>1</v>
      </c>
      <c r="G16" s="122"/>
      <c r="H16" s="122"/>
      <c r="I16" s="57" t="s">
        <v>38</v>
      </c>
      <c r="J16" s="57"/>
      <c r="K16" s="18">
        <f>(D16*F16)/(D17*F17*H17)</f>
        <v>764.32</v>
      </c>
      <c r="L16" s="7" t="s">
        <v>225</v>
      </c>
    </row>
    <row r="17" spans="1:12">
      <c r="D17" s="1">
        <v>2</v>
      </c>
      <c r="E17" s="57" t="s">
        <v>4</v>
      </c>
      <c r="F17" s="1">
        <f>J14</f>
        <v>6</v>
      </c>
      <c r="G17" s="57" t="s">
        <v>4</v>
      </c>
      <c r="H17" s="1">
        <v>6.25</v>
      </c>
      <c r="I17" s="57"/>
      <c r="J17" s="1"/>
      <c r="K17" s="47"/>
    </row>
    <row r="18" spans="1:12">
      <c r="A18" s="7" t="s">
        <v>307</v>
      </c>
      <c r="D18" s="1">
        <v>1</v>
      </c>
      <c r="E18" s="57" t="s">
        <v>4</v>
      </c>
      <c r="F18" s="1">
        <v>0.78500000000000003</v>
      </c>
      <c r="G18" s="57" t="s">
        <v>4</v>
      </c>
      <c r="H18" s="1">
        <v>20</v>
      </c>
      <c r="I18" s="57" t="s">
        <v>4</v>
      </c>
      <c r="J18" s="1">
        <f>H18</f>
        <v>20</v>
      </c>
      <c r="K18" s="47">
        <f>J18*H18*F18*D18</f>
        <v>314</v>
      </c>
      <c r="L18" s="7" t="s">
        <v>225</v>
      </c>
    </row>
    <row r="19" spans="1:12">
      <c r="A19" s="7"/>
      <c r="D19" s="1"/>
      <c r="E19" s="57"/>
      <c r="F19" s="1"/>
      <c r="G19" s="57"/>
      <c r="H19" s="1"/>
      <c r="I19" s="57" t="s">
        <v>308</v>
      </c>
      <c r="J19" s="1"/>
      <c r="K19" s="47">
        <f>K16-K18</f>
        <v>450.32000000000005</v>
      </c>
      <c r="L19" s="7" t="s">
        <v>225</v>
      </c>
    </row>
    <row r="20" spans="1:12">
      <c r="A20" s="7" t="s">
        <v>296</v>
      </c>
      <c r="I20" s="57" t="s">
        <v>38</v>
      </c>
      <c r="J20" s="2">
        <v>2</v>
      </c>
      <c r="K20" s="7" t="s">
        <v>46</v>
      </c>
    </row>
    <row r="21" spans="1:12">
      <c r="A21" s="7"/>
      <c r="D21" s="74">
        <f>K19</f>
        <v>450.32000000000005</v>
      </c>
      <c r="E21" s="57" t="s">
        <v>40</v>
      </c>
      <c r="F21" s="51">
        <f>J20</f>
        <v>2</v>
      </c>
      <c r="G21" s="1"/>
      <c r="H21" s="1"/>
      <c r="I21" s="57" t="s">
        <v>38</v>
      </c>
      <c r="J21" s="74">
        <f>D21/F21</f>
        <v>225.16000000000003</v>
      </c>
      <c r="K21" s="7" t="s">
        <v>225</v>
      </c>
    </row>
    <row r="22" spans="1:12">
      <c r="D22" s="127"/>
      <c r="E22" s="128"/>
      <c r="F22" s="128"/>
      <c r="G22" s="128"/>
      <c r="H22" s="122"/>
      <c r="I22" s="1"/>
      <c r="J22" s="1"/>
    </row>
    <row r="23" spans="1:12">
      <c r="A23" s="7" t="s">
        <v>226</v>
      </c>
      <c r="D23" s="129">
        <f>J21</f>
        <v>225.16000000000003</v>
      </c>
      <c r="E23" s="123" t="s">
        <v>4</v>
      </c>
      <c r="F23" s="122">
        <v>4</v>
      </c>
      <c r="G23" s="57" t="s">
        <v>38</v>
      </c>
      <c r="H23" s="74">
        <f>(D23*F23)/D24</f>
        <v>286.828025477707</v>
      </c>
      <c r="I23" s="57" t="s">
        <v>38</v>
      </c>
      <c r="J23" s="1">
        <v>16.93</v>
      </c>
      <c r="K23" s="7" t="s">
        <v>225</v>
      </c>
    </row>
    <row r="24" spans="1:12">
      <c r="D24" s="299">
        <v>3.14</v>
      </c>
      <c r="E24" s="299"/>
      <c r="F24" s="299"/>
      <c r="I24" s="57" t="s">
        <v>42</v>
      </c>
      <c r="J24">
        <v>20</v>
      </c>
      <c r="K24" s="7" t="s">
        <v>225</v>
      </c>
    </row>
    <row r="25" spans="1:12">
      <c r="D25" s="1"/>
      <c r="E25" s="1"/>
      <c r="F25" s="1"/>
    </row>
    <row r="26" spans="1:12">
      <c r="A26" s="7" t="s">
        <v>309</v>
      </c>
    </row>
    <row r="27" spans="1:12">
      <c r="A27" t="s">
        <v>295</v>
      </c>
    </row>
    <row r="29" spans="1:12">
      <c r="A29" s="76" t="s">
        <v>310</v>
      </c>
    </row>
    <row r="30" spans="1:12">
      <c r="A30" s="7" t="s">
        <v>292</v>
      </c>
      <c r="I30" s="57" t="s">
        <v>38</v>
      </c>
      <c r="J30" s="7">
        <f>J10</f>
        <v>458592</v>
      </c>
      <c r="K30" s="7" t="s">
        <v>221</v>
      </c>
    </row>
    <row r="31" spans="1:12">
      <c r="A31" s="76"/>
    </row>
    <row r="32" spans="1:12">
      <c r="A32" s="7" t="s">
        <v>293</v>
      </c>
      <c r="I32" s="57" t="s">
        <v>38</v>
      </c>
      <c r="J32">
        <v>8</v>
      </c>
      <c r="K32" s="7" t="s">
        <v>294</v>
      </c>
    </row>
    <row r="33" spans="1:11">
      <c r="A33" s="76"/>
    </row>
    <row r="34" spans="1:11">
      <c r="A34" s="7" t="s">
        <v>228</v>
      </c>
      <c r="I34" s="57" t="s">
        <v>38</v>
      </c>
      <c r="J34">
        <f>J30/J32</f>
        <v>57324</v>
      </c>
      <c r="K34" s="7" t="s">
        <v>221</v>
      </c>
    </row>
    <row r="35" spans="1:11">
      <c r="A35" s="7"/>
      <c r="I35" s="57"/>
      <c r="K35" s="7"/>
    </row>
    <row r="36" spans="1:11">
      <c r="A36" s="7" t="s">
        <v>229</v>
      </c>
      <c r="I36" s="57" t="s">
        <v>38</v>
      </c>
      <c r="J36" s="2">
        <f>J34/60</f>
        <v>955.4</v>
      </c>
      <c r="K36" s="7" t="s">
        <v>221</v>
      </c>
    </row>
    <row r="37" spans="1:11">
      <c r="A37" s="7"/>
      <c r="I37" s="57"/>
      <c r="J37" s="2"/>
      <c r="K37" s="7"/>
    </row>
    <row r="38" spans="1:11">
      <c r="A38" s="7" t="s">
        <v>230</v>
      </c>
      <c r="I38" s="57" t="s">
        <v>38</v>
      </c>
      <c r="J38" s="2">
        <f>J36/60</f>
        <v>15.923333333333334</v>
      </c>
      <c r="K38" s="7" t="s">
        <v>221</v>
      </c>
    </row>
    <row r="40" spans="1:11">
      <c r="B40" s="76" t="s">
        <v>231</v>
      </c>
    </row>
    <row r="41" spans="1:11">
      <c r="B41" s="7" t="s">
        <v>232</v>
      </c>
      <c r="C41" s="7" t="s">
        <v>38</v>
      </c>
      <c r="D41">
        <v>16.34</v>
      </c>
      <c r="E41" s="7" t="s">
        <v>221</v>
      </c>
    </row>
    <row r="42" spans="1:11">
      <c r="B42" s="7" t="s">
        <v>233</v>
      </c>
      <c r="C42" s="7" t="s">
        <v>38</v>
      </c>
      <c r="D42" s="2">
        <v>3.44</v>
      </c>
      <c r="E42" s="7" t="s">
        <v>225</v>
      </c>
    </row>
    <row r="43" spans="1:11">
      <c r="B43" s="7" t="s">
        <v>234</v>
      </c>
      <c r="C43" s="7" t="s">
        <v>38</v>
      </c>
      <c r="D43">
        <v>3.0000000000000001E-3</v>
      </c>
      <c r="E43" s="7" t="s">
        <v>225</v>
      </c>
    </row>
    <row r="44" spans="1:11">
      <c r="B44" s="7" t="s">
        <v>235</v>
      </c>
      <c r="C44" s="7" t="s">
        <v>38</v>
      </c>
      <c r="D44" s="60" t="s">
        <v>271</v>
      </c>
      <c r="E44" s="7"/>
    </row>
    <row r="45" spans="1:11">
      <c r="B45" s="7" t="s">
        <v>237</v>
      </c>
      <c r="C45" s="7" t="s">
        <v>38</v>
      </c>
      <c r="D45" s="7">
        <v>8000</v>
      </c>
      <c r="E45" s="7" t="s">
        <v>12</v>
      </c>
    </row>
    <row r="46" spans="1:11">
      <c r="A46" s="7"/>
      <c r="B46" s="7"/>
      <c r="C46" s="7"/>
      <c r="D46" s="7"/>
    </row>
    <row r="47" spans="1:11">
      <c r="A47" s="7" t="s">
        <v>236</v>
      </c>
      <c r="C47" s="7"/>
      <c r="D47">
        <f>D45</f>
        <v>8000</v>
      </c>
      <c r="E47" s="7" t="s">
        <v>4</v>
      </c>
      <c r="F47">
        <f>D43</f>
        <v>3.0000000000000001E-3</v>
      </c>
      <c r="G47" s="7" t="s">
        <v>38</v>
      </c>
      <c r="H47" s="18">
        <f>D47*F47</f>
        <v>24</v>
      </c>
      <c r="I47" s="7" t="s">
        <v>42</v>
      </c>
      <c r="J47" s="2">
        <v>24</v>
      </c>
      <c r="K47" s="7" t="s">
        <v>225</v>
      </c>
    </row>
    <row r="49" spans="1:12" hidden="1">
      <c r="A49" s="76" t="s">
        <v>311</v>
      </c>
    </row>
    <row r="50" spans="1:12" hidden="1">
      <c r="A50" s="7" t="s">
        <v>228</v>
      </c>
      <c r="I50" s="57" t="s">
        <v>38</v>
      </c>
      <c r="J50">
        <f>J34</f>
        <v>57324</v>
      </c>
      <c r="K50" s="7" t="s">
        <v>221</v>
      </c>
    </row>
    <row r="51" spans="1:12" hidden="1">
      <c r="A51" s="7"/>
      <c r="I51" s="57"/>
      <c r="K51" s="7"/>
    </row>
    <row r="52" spans="1:12" hidden="1">
      <c r="A52" s="7" t="s">
        <v>229</v>
      </c>
      <c r="I52" s="57" t="s">
        <v>38</v>
      </c>
      <c r="J52" s="2">
        <f>J50/60</f>
        <v>955.4</v>
      </c>
      <c r="K52" s="7" t="s">
        <v>221</v>
      </c>
    </row>
    <row r="53" spans="1:12" hidden="1">
      <c r="A53" s="7"/>
      <c r="I53" s="57"/>
      <c r="J53" s="2"/>
      <c r="K53" s="7"/>
    </row>
    <row r="54" spans="1:12" hidden="1">
      <c r="A54" s="7" t="s">
        <v>276</v>
      </c>
      <c r="I54" s="57" t="s">
        <v>38</v>
      </c>
      <c r="J54" s="158">
        <v>2</v>
      </c>
      <c r="K54" s="7" t="s">
        <v>277</v>
      </c>
    </row>
    <row r="55" spans="1:12" hidden="1"/>
    <row r="56" spans="1:12" hidden="1">
      <c r="A56" s="7" t="s">
        <v>278</v>
      </c>
      <c r="D56" s="2">
        <f>J52</f>
        <v>955.4</v>
      </c>
      <c r="E56" t="s">
        <v>40</v>
      </c>
      <c r="F56" s="18">
        <f>J54</f>
        <v>2</v>
      </c>
      <c r="G56" s="57" t="s">
        <v>38</v>
      </c>
      <c r="H56" s="2">
        <f>D56/F56</f>
        <v>477.7</v>
      </c>
      <c r="I56" s="7" t="s">
        <v>42</v>
      </c>
      <c r="J56">
        <v>850</v>
      </c>
      <c r="K56" t="s">
        <v>221</v>
      </c>
    </row>
    <row r="57" spans="1:12" hidden="1">
      <c r="A57" s="7"/>
      <c r="F57" s="2"/>
      <c r="H57" s="18"/>
      <c r="I57" s="57"/>
      <c r="J57" s="2"/>
      <c r="K57" s="7"/>
    </row>
    <row r="58" spans="1:12" hidden="1">
      <c r="A58" s="7"/>
      <c r="F58" s="2"/>
      <c r="H58" s="18"/>
      <c r="I58" s="57"/>
      <c r="J58" s="2"/>
      <c r="K58" s="7"/>
    </row>
    <row r="59" spans="1:12" hidden="1">
      <c r="A59" s="7"/>
      <c r="F59" s="2"/>
      <c r="H59" s="18"/>
      <c r="I59" s="57"/>
      <c r="J59" s="2"/>
      <c r="K59" s="7"/>
    </row>
    <row r="60" spans="1:12" hidden="1">
      <c r="A60" s="7"/>
      <c r="F60" s="2"/>
      <c r="H60" s="18"/>
      <c r="I60" s="57"/>
      <c r="J60" s="2"/>
      <c r="K60" s="7"/>
    </row>
    <row r="61" spans="1:12" hidden="1">
      <c r="A61" s="7"/>
      <c r="F61" s="2"/>
      <c r="H61" s="18"/>
      <c r="I61" s="57"/>
      <c r="J61" s="2"/>
      <c r="K61" s="7"/>
    </row>
    <row r="62" spans="1:12" hidden="1">
      <c r="B62" s="76" t="s">
        <v>275</v>
      </c>
      <c r="J62" s="57"/>
      <c r="K62" s="2"/>
      <c r="L62" s="7"/>
    </row>
    <row r="63" spans="1:12" hidden="1">
      <c r="A63" s="7"/>
      <c r="B63" s="7" t="s">
        <v>279</v>
      </c>
      <c r="D63" s="7"/>
      <c r="F63">
        <v>12</v>
      </c>
      <c r="G63" s="7" t="s">
        <v>225</v>
      </c>
    </row>
    <row r="64" spans="1:12" hidden="1">
      <c r="A64" s="7"/>
      <c r="B64" s="7" t="s">
        <v>280</v>
      </c>
      <c r="D64" s="7"/>
      <c r="F64">
        <f>J47</f>
        <v>24</v>
      </c>
      <c r="G64" s="7" t="s">
        <v>225</v>
      </c>
    </row>
    <row r="65" spans="1:11" hidden="1">
      <c r="A65" s="7"/>
      <c r="B65" s="7" t="s">
        <v>281</v>
      </c>
      <c r="C65" s="60"/>
      <c r="D65" s="7"/>
      <c r="F65">
        <v>5</v>
      </c>
      <c r="G65" s="7" t="s">
        <v>225</v>
      </c>
    </row>
    <row r="66" spans="1:11" hidden="1">
      <c r="A66" s="7"/>
      <c r="B66" s="7" t="s">
        <v>282</v>
      </c>
      <c r="C66" s="7"/>
      <c r="D66" s="7"/>
      <c r="F66">
        <v>12</v>
      </c>
      <c r="G66" s="7" t="s">
        <v>225</v>
      </c>
    </row>
    <row r="67" spans="1:11" hidden="1">
      <c r="A67" s="7"/>
      <c r="B67" s="7"/>
      <c r="C67" s="7"/>
      <c r="D67" s="7"/>
      <c r="F67">
        <f>SUM(F63:F66)</f>
        <v>53</v>
      </c>
      <c r="G67" s="7" t="s">
        <v>225</v>
      </c>
      <c r="H67" s="7" t="s">
        <v>42</v>
      </c>
      <c r="J67">
        <v>40</v>
      </c>
      <c r="K67" s="7" t="s">
        <v>225</v>
      </c>
    </row>
    <row r="68" spans="1:11" hidden="1">
      <c r="A68" s="7"/>
      <c r="B68" s="7"/>
      <c r="C68" s="7"/>
      <c r="D68" s="7"/>
      <c r="G68" s="7"/>
      <c r="H68" s="7"/>
      <c r="K68" s="7"/>
    </row>
    <row r="69" spans="1:11" hidden="1">
      <c r="A69" s="7" t="s">
        <v>283</v>
      </c>
      <c r="B69" s="122">
        <f>J56</f>
        <v>850</v>
      </c>
      <c r="C69" s="123" t="s">
        <v>4</v>
      </c>
      <c r="D69" s="122">
        <f>J67</f>
        <v>40</v>
      </c>
      <c r="E69" s="123" t="s">
        <v>4</v>
      </c>
      <c r="F69" s="129">
        <v>12</v>
      </c>
      <c r="G69" s="123" t="s">
        <v>4</v>
      </c>
      <c r="H69" s="122">
        <v>100</v>
      </c>
      <c r="I69" s="7" t="s">
        <v>38</v>
      </c>
      <c r="J69" s="2">
        <f>(B69*D69*F69*H69)/(B70*F70)</f>
        <v>20.606060606060606</v>
      </c>
    </row>
    <row r="70" spans="1:11" hidden="1">
      <c r="B70" s="301">
        <v>33000</v>
      </c>
      <c r="C70" s="301"/>
      <c r="D70" s="301"/>
      <c r="E70" s="153" t="s">
        <v>4</v>
      </c>
      <c r="F70" s="302">
        <v>60</v>
      </c>
      <c r="G70" s="302"/>
      <c r="H70" s="302"/>
      <c r="I70" s="7" t="s">
        <v>42</v>
      </c>
      <c r="J70">
        <v>20</v>
      </c>
      <c r="K70" s="7" t="s">
        <v>284</v>
      </c>
    </row>
    <row r="71" spans="1:11" hidden="1">
      <c r="B71" s="137"/>
      <c r="C71" s="137"/>
      <c r="D71" s="137"/>
      <c r="E71" s="58"/>
      <c r="F71" s="59"/>
      <c r="G71" s="59"/>
      <c r="H71" s="59"/>
      <c r="I71" s="7"/>
      <c r="K71" s="7"/>
    </row>
    <row r="72" spans="1:11" hidden="1">
      <c r="B72" s="7" t="s">
        <v>297</v>
      </c>
    </row>
    <row r="73" spans="1:11" hidden="1">
      <c r="B73" s="7" t="s">
        <v>298</v>
      </c>
    </row>
    <row r="74" spans="1:11" hidden="1">
      <c r="B74" s="7" t="s">
        <v>299</v>
      </c>
    </row>
    <row r="75" spans="1:11" hidden="1">
      <c r="B75" s="7" t="s">
        <v>300</v>
      </c>
    </row>
    <row r="76" spans="1:11">
      <c r="B76" s="7"/>
    </row>
    <row r="77" spans="1:11">
      <c r="B77" s="7"/>
    </row>
    <row r="78" spans="1:11">
      <c r="B78" s="7"/>
    </row>
  </sheetData>
  <mergeCells count="4">
    <mergeCell ref="D24:F24"/>
    <mergeCell ref="A1:K1"/>
    <mergeCell ref="B70:D70"/>
    <mergeCell ref="F70:H70"/>
  </mergeCells>
  <pageMargins left="0.7" right="0.7" top="0.43" bottom="0.47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W223"/>
  <sheetViews>
    <sheetView topLeftCell="A190" zoomScaleSheetLayoutView="85" workbookViewId="0">
      <selection activeCell="K232" sqref="K232"/>
    </sheetView>
  </sheetViews>
  <sheetFormatPr defaultRowHeight="12.75"/>
  <cols>
    <col min="1" max="1" width="4.140625" customWidth="1"/>
    <col min="2" max="2" width="10.85546875" customWidth="1"/>
    <col min="3" max="3" width="3.85546875" customWidth="1"/>
    <col min="4" max="4" width="3" customWidth="1"/>
    <col min="5" max="5" width="5.7109375" customWidth="1"/>
    <col min="6" max="6" width="2.5703125" customWidth="1"/>
    <col min="7" max="7" width="5.5703125" customWidth="1"/>
    <col min="8" max="8" width="3.140625" customWidth="1"/>
    <col min="9" max="9" width="6" customWidth="1"/>
    <col min="10" max="10" width="2.7109375" customWidth="1"/>
    <col min="11" max="11" width="5.28515625" customWidth="1"/>
    <col min="12" max="12" width="6.42578125" customWidth="1"/>
    <col min="13" max="13" width="3.28515625" customWidth="1"/>
    <col min="14" max="14" width="10" customWidth="1"/>
    <col min="15" max="15" width="8.140625" customWidth="1"/>
    <col min="16" max="16" width="3.7109375" customWidth="1"/>
    <col min="17" max="17" width="10.28515625" customWidth="1"/>
    <col min="18" max="18" width="0.42578125" customWidth="1"/>
    <col min="19" max="19" width="3.28515625" customWidth="1"/>
    <col min="20" max="20" width="3.5703125" customWidth="1"/>
    <col min="21" max="21" width="3.140625" customWidth="1"/>
    <col min="22" max="22" width="2.85546875" customWidth="1"/>
    <col min="23" max="23" width="6.140625" customWidth="1"/>
    <col min="24" max="29" width="9.140625" customWidth="1"/>
  </cols>
  <sheetData>
    <row r="1" spans="1:23" ht="21" customHeight="1">
      <c r="B1" s="303" t="s">
        <v>368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75"/>
      <c r="Q1" s="75"/>
      <c r="R1" s="75"/>
    </row>
    <row r="2" spans="1:23" ht="15.75">
      <c r="A2">
        <v>1</v>
      </c>
      <c r="B2" s="8" t="s">
        <v>52</v>
      </c>
      <c r="S2">
        <v>20</v>
      </c>
      <c r="T2" t="s">
        <v>55</v>
      </c>
      <c r="U2">
        <v>4</v>
      </c>
      <c r="V2" t="s">
        <v>5</v>
      </c>
      <c r="W2">
        <f>S2+U2</f>
        <v>24</v>
      </c>
    </row>
    <row r="3" spans="1:23" ht="15.75">
      <c r="B3" s="8" t="s">
        <v>199</v>
      </c>
      <c r="S3">
        <v>10</v>
      </c>
      <c r="T3" t="s">
        <v>55</v>
      </c>
      <c r="U3">
        <f>U2</f>
        <v>4</v>
      </c>
      <c r="V3" t="s">
        <v>5</v>
      </c>
      <c r="W3">
        <f>S3+U3</f>
        <v>14</v>
      </c>
    </row>
    <row r="4" spans="1:23">
      <c r="B4" s="76" t="s">
        <v>53</v>
      </c>
    </row>
    <row r="5" spans="1:23">
      <c r="B5" t="s">
        <v>54</v>
      </c>
      <c r="C5" s="1">
        <v>2</v>
      </c>
      <c r="D5" s="1" t="s">
        <v>4</v>
      </c>
      <c r="E5" s="1">
        <v>0.78500000000000003</v>
      </c>
      <c r="F5" s="1" t="s">
        <v>4</v>
      </c>
      <c r="G5" s="1">
        <f>W2</f>
        <v>24</v>
      </c>
      <c r="H5" s="1" t="s">
        <v>4</v>
      </c>
      <c r="I5" s="1">
        <f>W2</f>
        <v>24</v>
      </c>
      <c r="J5" s="1" t="s">
        <v>4</v>
      </c>
      <c r="K5" s="1">
        <v>5</v>
      </c>
      <c r="L5" s="1"/>
      <c r="M5" t="s">
        <v>5</v>
      </c>
      <c r="N5" s="49">
        <f>C5*E5*G5*I5*K5</f>
        <v>4521.5999999999995</v>
      </c>
      <c r="O5" t="s">
        <v>37</v>
      </c>
    </row>
    <row r="6" spans="1:23">
      <c r="B6" t="s">
        <v>56</v>
      </c>
      <c r="C6" s="1">
        <v>1</v>
      </c>
      <c r="D6" s="1" t="s">
        <v>4</v>
      </c>
      <c r="E6" s="1">
        <v>0.78500000000000003</v>
      </c>
      <c r="F6" s="1" t="s">
        <v>4</v>
      </c>
      <c r="G6" s="1">
        <f>W3</f>
        <v>14</v>
      </c>
      <c r="H6" s="1" t="s">
        <v>4</v>
      </c>
      <c r="I6" s="1">
        <f>W3</f>
        <v>14</v>
      </c>
      <c r="J6" s="1" t="s">
        <v>4</v>
      </c>
      <c r="K6" s="1">
        <v>5</v>
      </c>
      <c r="L6" s="1"/>
      <c r="M6" t="s">
        <v>5</v>
      </c>
      <c r="N6" s="77">
        <f>C6*E6*G6*I6*K6</f>
        <v>769.30000000000007</v>
      </c>
      <c r="O6" s="23" t="s">
        <v>37</v>
      </c>
    </row>
    <row r="7" spans="1:23">
      <c r="C7" s="1"/>
      <c r="D7" s="1"/>
      <c r="E7" s="1"/>
      <c r="F7" s="1"/>
      <c r="G7" s="1"/>
      <c r="H7" s="1"/>
      <c r="I7" s="1"/>
      <c r="J7" s="1"/>
      <c r="K7" s="1"/>
      <c r="L7" s="1"/>
      <c r="N7" s="78">
        <f>N5+N6</f>
        <v>5290.9</v>
      </c>
      <c r="O7" s="3" t="s">
        <v>37</v>
      </c>
    </row>
    <row r="8" spans="1:23">
      <c r="C8" s="174"/>
      <c r="D8" s="174"/>
      <c r="E8" s="174"/>
      <c r="F8" s="174"/>
      <c r="G8" s="174"/>
      <c r="H8" s="174"/>
      <c r="I8" s="174"/>
      <c r="J8" s="174"/>
      <c r="K8" s="174"/>
      <c r="L8" s="174"/>
      <c r="N8" s="78"/>
      <c r="O8" s="3"/>
    </row>
    <row r="9" spans="1:23">
      <c r="B9" s="61">
        <f>N7</f>
        <v>5290.9</v>
      </c>
      <c r="C9" s="65" t="str">
        <f>O7</f>
        <v>Cft.</v>
      </c>
      <c r="D9" s="72"/>
      <c r="E9" s="1"/>
      <c r="F9" s="1"/>
      <c r="G9" s="1"/>
      <c r="H9" s="1"/>
      <c r="I9" s="1"/>
      <c r="J9" s="1"/>
      <c r="K9" s="1"/>
      <c r="L9" s="1"/>
      <c r="M9" s="10" t="s">
        <v>57</v>
      </c>
      <c r="N9" s="45">
        <v>2247.58</v>
      </c>
      <c r="O9" s="39" t="s">
        <v>3</v>
      </c>
      <c r="P9" s="10" t="s">
        <v>31</v>
      </c>
      <c r="Q9" s="11">
        <f>B9*N9/1000</f>
        <v>11891.721021999998</v>
      </c>
    </row>
    <row r="10" spans="1:23">
      <c r="C10" s="1"/>
      <c r="D10" s="1"/>
      <c r="E10" s="1"/>
      <c r="F10" s="1"/>
      <c r="G10" s="1"/>
      <c r="H10" s="1"/>
      <c r="I10" s="1"/>
      <c r="J10" s="1"/>
      <c r="K10" s="1"/>
      <c r="L10" s="4"/>
      <c r="N10" s="10"/>
      <c r="O10" s="5"/>
      <c r="P10" s="39"/>
      <c r="Q10" s="10"/>
      <c r="R10" s="5"/>
    </row>
    <row r="11" spans="1:23" ht="15.75">
      <c r="A11">
        <v>2</v>
      </c>
      <c r="B11" s="41" t="s">
        <v>60</v>
      </c>
      <c r="C11" s="1"/>
      <c r="D11" s="1"/>
      <c r="E11" s="1"/>
      <c r="F11" s="1"/>
      <c r="G11" s="1"/>
      <c r="H11" s="1"/>
      <c r="I11" s="1"/>
      <c r="J11" s="1"/>
      <c r="K11" s="1"/>
      <c r="L11" s="1"/>
      <c r="N11" s="10"/>
      <c r="O11" s="5"/>
      <c r="P11" s="39"/>
      <c r="Q11" s="10"/>
      <c r="R11" s="5"/>
    </row>
    <row r="12" spans="1:23">
      <c r="B12" t="s">
        <v>61</v>
      </c>
      <c r="C12" s="1"/>
      <c r="D12" s="1"/>
      <c r="E12" s="1"/>
      <c r="F12" s="1"/>
      <c r="G12" s="1"/>
      <c r="H12" s="1"/>
      <c r="I12" s="1"/>
      <c r="J12" s="1"/>
      <c r="K12" s="1"/>
      <c r="L12" s="1"/>
      <c r="N12" s="10"/>
      <c r="O12" s="5"/>
      <c r="P12" s="39"/>
      <c r="Q12" s="10"/>
      <c r="R12" s="5"/>
    </row>
    <row r="13" spans="1:23">
      <c r="B13" t="s">
        <v>62</v>
      </c>
      <c r="C13" s="1"/>
      <c r="D13" s="1"/>
      <c r="E13" s="1"/>
      <c r="F13" s="1"/>
      <c r="G13" s="1"/>
      <c r="H13" s="1"/>
      <c r="I13" s="1"/>
      <c r="J13" s="1"/>
      <c r="K13" s="1"/>
      <c r="L13" s="1"/>
      <c r="N13" s="10"/>
      <c r="O13" s="5"/>
      <c r="P13" s="39"/>
      <c r="Q13" s="10"/>
      <c r="R13" s="5"/>
    </row>
    <row r="14" spans="1:23">
      <c r="B14" t="s">
        <v>63</v>
      </c>
      <c r="C14" s="1"/>
      <c r="D14" s="1"/>
      <c r="E14" s="1"/>
      <c r="F14" s="1"/>
      <c r="G14" s="1"/>
      <c r="H14" s="1"/>
      <c r="I14" s="1"/>
      <c r="J14" s="1"/>
      <c r="K14" s="1"/>
      <c r="L14" s="1"/>
      <c r="N14" s="10"/>
      <c r="O14" s="5"/>
      <c r="P14" s="39"/>
      <c r="Q14" s="10"/>
      <c r="R14" s="5"/>
    </row>
    <row r="15" spans="1:23">
      <c r="B15" t="s">
        <v>64</v>
      </c>
      <c r="C15" s="1"/>
      <c r="D15" s="1"/>
      <c r="E15" s="1"/>
      <c r="F15" s="1"/>
      <c r="G15" s="1"/>
      <c r="H15" s="1"/>
      <c r="I15" s="1"/>
      <c r="J15" s="1"/>
      <c r="K15" s="1"/>
      <c r="L15" s="1"/>
      <c r="N15" s="10"/>
      <c r="O15" s="5"/>
      <c r="P15" s="39"/>
      <c r="Q15" s="10"/>
      <c r="R15" s="5"/>
    </row>
    <row r="16" spans="1:23">
      <c r="B16" t="s">
        <v>65</v>
      </c>
      <c r="C16" s="1"/>
      <c r="D16" s="1"/>
      <c r="E16" s="1"/>
      <c r="F16" s="1"/>
      <c r="G16" s="1"/>
      <c r="H16" s="1"/>
      <c r="I16" s="1"/>
      <c r="J16" s="1"/>
      <c r="K16" s="1"/>
      <c r="L16" s="1"/>
      <c r="N16" s="10"/>
      <c r="O16" s="5"/>
      <c r="P16" s="39"/>
      <c r="Q16" s="10"/>
      <c r="R16" s="5"/>
    </row>
    <row r="17" spans="2:18">
      <c r="B17" t="s">
        <v>66</v>
      </c>
      <c r="C17" s="1"/>
      <c r="D17" s="1"/>
      <c r="E17" s="1"/>
      <c r="F17" s="1"/>
      <c r="G17" s="1"/>
      <c r="H17" s="1"/>
      <c r="I17" s="1"/>
      <c r="J17" s="1"/>
      <c r="K17" s="1"/>
      <c r="L17" s="1"/>
      <c r="N17" s="10"/>
      <c r="O17" s="5"/>
      <c r="P17" s="39"/>
      <c r="Q17" s="10"/>
      <c r="R17" s="5"/>
    </row>
    <row r="18" spans="2:18">
      <c r="B18" s="7" t="s">
        <v>200</v>
      </c>
      <c r="C18" s="1"/>
      <c r="D18" s="1"/>
      <c r="E18" s="1"/>
      <c r="F18" s="1"/>
      <c r="G18" s="1"/>
      <c r="H18" s="1"/>
      <c r="I18" s="1"/>
      <c r="J18" s="1"/>
      <c r="K18" s="1"/>
      <c r="L18" s="1"/>
      <c r="N18" s="10"/>
      <c r="O18" s="5"/>
      <c r="P18" s="39"/>
      <c r="Q18" s="10"/>
      <c r="R18" s="5"/>
    </row>
    <row r="19" spans="2:18">
      <c r="B19" s="3" t="s">
        <v>67</v>
      </c>
      <c r="C19" s="1">
        <f>C5</f>
        <v>2</v>
      </c>
      <c r="D19" s="1" t="s">
        <v>4</v>
      </c>
      <c r="E19" s="1">
        <v>3.14</v>
      </c>
      <c r="F19" s="1" t="s">
        <v>4</v>
      </c>
      <c r="G19" s="1">
        <f>S2+1</f>
        <v>21</v>
      </c>
      <c r="H19" s="1" t="s">
        <v>4</v>
      </c>
      <c r="I19" s="1">
        <v>1.5</v>
      </c>
      <c r="J19" s="1" t="s">
        <v>4</v>
      </c>
      <c r="K19" s="1">
        <v>0.5</v>
      </c>
      <c r="L19" s="1"/>
      <c r="M19" t="s">
        <v>5</v>
      </c>
      <c r="N19" s="49">
        <f>C19*E19*G19*I19*K19</f>
        <v>98.91</v>
      </c>
      <c r="O19" s="5" t="s">
        <v>37</v>
      </c>
      <c r="P19" s="39"/>
      <c r="Q19" s="10"/>
      <c r="R19" s="5" t="s">
        <v>26</v>
      </c>
    </row>
    <row r="20" spans="2:18">
      <c r="C20" s="1">
        <v>1</v>
      </c>
      <c r="D20" s="1" t="s">
        <v>4</v>
      </c>
      <c r="E20" s="1">
        <v>3.14</v>
      </c>
      <c r="F20" s="1" t="s">
        <v>4</v>
      </c>
      <c r="G20" s="1">
        <f>S3+1</f>
        <v>11</v>
      </c>
      <c r="H20" s="1" t="s">
        <v>4</v>
      </c>
      <c r="I20" s="1">
        <f>I19</f>
        <v>1.5</v>
      </c>
      <c r="J20" s="1" t="s">
        <v>4</v>
      </c>
      <c r="K20" s="1">
        <f>K19</f>
        <v>0.5</v>
      </c>
      <c r="L20" s="1"/>
      <c r="M20" t="s">
        <v>5</v>
      </c>
      <c r="N20" s="49">
        <f>C20*E20*G20*I20*K20</f>
        <v>25.905000000000001</v>
      </c>
      <c r="O20" s="5" t="s">
        <v>37</v>
      </c>
      <c r="P20" s="39"/>
      <c r="Q20" s="10"/>
      <c r="R20" s="5"/>
    </row>
    <row r="21" spans="2:18">
      <c r="B21" t="s">
        <v>58</v>
      </c>
      <c r="C21" s="1">
        <f>C19</f>
        <v>2</v>
      </c>
      <c r="D21" s="1" t="s">
        <v>4</v>
      </c>
      <c r="E21" s="1">
        <v>3.14</v>
      </c>
      <c r="F21" s="1" t="s">
        <v>4</v>
      </c>
      <c r="G21" s="74">
        <f>G19-0.33</f>
        <v>20.67</v>
      </c>
      <c r="H21" s="1" t="s">
        <v>4</v>
      </c>
      <c r="I21" s="123">
        <v>0.33</v>
      </c>
      <c r="J21" s="123" t="s">
        <v>55</v>
      </c>
      <c r="K21" s="123">
        <v>1.5</v>
      </c>
      <c r="L21" s="1">
        <v>1.5</v>
      </c>
      <c r="M21" t="s">
        <v>5</v>
      </c>
      <c r="N21" s="49">
        <f>(I21+K21)/J22*C21*E21*G21*L21</f>
        <v>178.16093100000006</v>
      </c>
      <c r="O21" s="5" t="s">
        <v>37</v>
      </c>
      <c r="P21" s="39"/>
      <c r="Q21" s="10"/>
      <c r="R21" s="5"/>
    </row>
    <row r="22" spans="2:18">
      <c r="C22" s="1"/>
      <c r="D22" s="1"/>
      <c r="E22" s="1"/>
      <c r="F22" s="1"/>
      <c r="G22" s="1"/>
      <c r="H22" s="1"/>
      <c r="I22" s="1"/>
      <c r="J22" s="1">
        <v>2</v>
      </c>
      <c r="K22" s="1"/>
      <c r="L22" s="1"/>
      <c r="N22" s="49"/>
      <c r="O22" s="5"/>
      <c r="P22" s="39"/>
      <c r="Q22" s="10"/>
      <c r="R22" s="5"/>
    </row>
    <row r="23" spans="2:18">
      <c r="B23" t="s">
        <v>58</v>
      </c>
      <c r="C23" s="1">
        <v>1</v>
      </c>
      <c r="D23" s="1" t="s">
        <v>4</v>
      </c>
      <c r="E23" s="1">
        <v>3.14</v>
      </c>
      <c r="F23" s="1" t="s">
        <v>4</v>
      </c>
      <c r="G23" s="74">
        <f>G20-0.33</f>
        <v>10.67</v>
      </c>
      <c r="H23" s="1" t="s">
        <v>4</v>
      </c>
      <c r="I23" s="123">
        <f>I21</f>
        <v>0.33</v>
      </c>
      <c r="J23" s="123" t="s">
        <v>55</v>
      </c>
      <c r="K23" s="123">
        <f>K21</f>
        <v>1.5</v>
      </c>
      <c r="L23" s="1">
        <f>L21</f>
        <v>1.5</v>
      </c>
      <c r="M23" t="s">
        <v>5</v>
      </c>
      <c r="N23" s="77">
        <f>(I23+K23)/J24*C23*E23*G23*L23</f>
        <v>45.983965500000004</v>
      </c>
      <c r="O23" s="24" t="s">
        <v>37</v>
      </c>
      <c r="P23" s="39"/>
      <c r="Q23" s="10"/>
      <c r="R23" s="5"/>
    </row>
    <row r="24" spans="2:18">
      <c r="B24" s="76" t="s">
        <v>312</v>
      </c>
      <c r="C24" s="1"/>
      <c r="D24" s="1"/>
      <c r="E24" s="1"/>
      <c r="F24" s="1"/>
      <c r="G24" s="1"/>
      <c r="H24" s="1"/>
      <c r="I24" s="1"/>
      <c r="J24" s="1">
        <v>2</v>
      </c>
      <c r="K24" s="1"/>
      <c r="L24" s="1"/>
      <c r="M24" s="82" t="s">
        <v>68</v>
      </c>
      <c r="N24" s="78">
        <f>N19+N20+N21+N23</f>
        <v>348.95989650000007</v>
      </c>
      <c r="O24" s="81" t="s">
        <v>37</v>
      </c>
      <c r="P24" s="39"/>
      <c r="Q24" s="10"/>
      <c r="R24" s="5"/>
    </row>
    <row r="25" spans="2:18">
      <c r="B25" t="s">
        <v>69</v>
      </c>
      <c r="C25" s="1">
        <f>C5</f>
        <v>2</v>
      </c>
      <c r="D25" s="1" t="s">
        <v>4</v>
      </c>
      <c r="E25" s="1">
        <v>3.14</v>
      </c>
      <c r="F25" s="1" t="s">
        <v>4</v>
      </c>
      <c r="G25" s="74">
        <f>G19</f>
        <v>21</v>
      </c>
      <c r="H25" s="1" t="s">
        <v>4</v>
      </c>
      <c r="I25" s="1">
        <v>1</v>
      </c>
      <c r="J25" s="1" t="s">
        <v>4</v>
      </c>
      <c r="K25" s="1">
        <f>(K5+K47+K53+K59+K64)+1</f>
        <v>21</v>
      </c>
      <c r="L25" s="1"/>
      <c r="M25" t="s">
        <v>5</v>
      </c>
      <c r="N25" s="49">
        <f>C25*E25*G25*I25*K25</f>
        <v>2769.48</v>
      </c>
      <c r="O25" s="5" t="s">
        <v>37</v>
      </c>
      <c r="P25" s="39"/>
      <c r="Q25" s="10"/>
      <c r="R25" s="5"/>
    </row>
    <row r="26" spans="2:18">
      <c r="B26" t="s">
        <v>70</v>
      </c>
      <c r="C26" s="1">
        <v>1</v>
      </c>
      <c r="D26" s="1" t="s">
        <v>4</v>
      </c>
      <c r="E26" s="1">
        <v>3.14</v>
      </c>
      <c r="F26" s="1" t="s">
        <v>4</v>
      </c>
      <c r="G26" s="74">
        <f>G20</f>
        <v>11</v>
      </c>
      <c r="H26" s="1" t="s">
        <v>4</v>
      </c>
      <c r="I26" s="1">
        <v>1</v>
      </c>
      <c r="J26" s="1" t="s">
        <v>4</v>
      </c>
      <c r="K26" s="1">
        <f>(K6+K48+K54+K60)+1</f>
        <v>18</v>
      </c>
      <c r="L26" s="1"/>
      <c r="M26" t="s">
        <v>5</v>
      </c>
      <c r="N26" s="77">
        <f>C26*E26*G26*I26*K26</f>
        <v>621.72</v>
      </c>
      <c r="O26" s="24" t="s">
        <v>37</v>
      </c>
      <c r="P26" s="39"/>
      <c r="Q26" s="10"/>
      <c r="R26" s="5"/>
    </row>
    <row r="27" spans="2:18">
      <c r="C27" s="1"/>
      <c r="D27" s="1"/>
      <c r="E27" s="1"/>
      <c r="F27" s="1"/>
      <c r="G27" s="1"/>
      <c r="H27" s="1"/>
      <c r="I27" s="1"/>
      <c r="J27" s="1"/>
      <c r="K27" s="1"/>
      <c r="L27" s="1"/>
      <c r="M27" s="82" t="s">
        <v>71</v>
      </c>
      <c r="N27" s="78">
        <f>N26+N25</f>
        <v>3391.2</v>
      </c>
      <c r="O27" s="81" t="s">
        <v>37</v>
      </c>
      <c r="P27" s="39"/>
      <c r="Q27" s="10"/>
      <c r="R27" s="5"/>
    </row>
    <row r="28" spans="2:18"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82"/>
      <c r="N28" s="78"/>
      <c r="O28" s="81"/>
      <c r="P28" s="39"/>
      <c r="Q28" s="175"/>
      <c r="R28" s="5"/>
    </row>
    <row r="29" spans="2:18">
      <c r="B29" s="2">
        <f>N24</f>
        <v>348.95989650000007</v>
      </c>
      <c r="C29" s="1"/>
      <c r="D29" s="1"/>
      <c r="E29" s="57" t="s">
        <v>215</v>
      </c>
      <c r="F29" s="1"/>
      <c r="G29" s="307">
        <f>N27</f>
        <v>3391.2</v>
      </c>
      <c r="H29" s="299"/>
      <c r="I29" s="299"/>
      <c r="J29" s="1"/>
      <c r="K29" s="57" t="s">
        <v>38</v>
      </c>
      <c r="L29" s="1"/>
      <c r="M29" s="82"/>
      <c r="N29" s="78">
        <f>B29+G29</f>
        <v>3740.1598964999998</v>
      </c>
      <c r="O29" s="81" t="s">
        <v>37</v>
      </c>
      <c r="P29" s="39"/>
      <c r="Q29" s="10"/>
      <c r="R29" s="5"/>
    </row>
    <row r="30" spans="2:18">
      <c r="B30" s="2"/>
      <c r="C30" s="174"/>
      <c r="D30" s="174"/>
      <c r="E30" s="177"/>
      <c r="F30" s="174"/>
      <c r="G30" s="176"/>
      <c r="H30" s="174"/>
      <c r="I30" s="174"/>
      <c r="J30" s="174"/>
      <c r="K30" s="177"/>
      <c r="L30" s="174"/>
      <c r="M30" s="82"/>
      <c r="N30" s="78"/>
      <c r="O30" s="81"/>
      <c r="P30" s="39"/>
      <c r="Q30" s="175"/>
      <c r="R30" s="5"/>
    </row>
    <row r="31" spans="2:18">
      <c r="B31" s="46">
        <f>N29</f>
        <v>3740.1598964999998</v>
      </c>
      <c r="C31" s="57" t="str">
        <f>O27</f>
        <v>Cft.</v>
      </c>
      <c r="D31" s="1"/>
      <c r="E31" s="1"/>
      <c r="F31" s="1"/>
      <c r="G31" s="1"/>
      <c r="H31" s="1"/>
      <c r="I31" s="1"/>
      <c r="J31" s="1"/>
      <c r="K31" s="1"/>
      <c r="L31" s="1"/>
      <c r="M31" s="60" t="s">
        <v>32</v>
      </c>
      <c r="N31" s="18">
        <v>337</v>
      </c>
      <c r="O31" s="39" t="s">
        <v>59</v>
      </c>
      <c r="P31" s="10" t="s">
        <v>31</v>
      </c>
      <c r="Q31" s="11">
        <f>B31*N31</f>
        <v>1260433.8851204999</v>
      </c>
    </row>
    <row r="32" spans="2:18">
      <c r="C32" s="1"/>
      <c r="D32" s="1"/>
      <c r="E32" s="1"/>
      <c r="F32" s="1"/>
      <c r="G32" s="1"/>
      <c r="H32" s="1"/>
      <c r="I32" s="1"/>
      <c r="J32" s="1"/>
      <c r="K32" s="1"/>
      <c r="L32" s="1"/>
      <c r="N32" s="10"/>
      <c r="O32" s="5"/>
      <c r="P32" s="39"/>
      <c r="Q32" s="10"/>
      <c r="R32" s="5"/>
    </row>
    <row r="33" spans="1:18" ht="15.75">
      <c r="A33">
        <v>3</v>
      </c>
      <c r="B33" s="8" t="s">
        <v>72</v>
      </c>
      <c r="C33" s="1"/>
      <c r="D33" s="1"/>
      <c r="E33" s="1"/>
      <c r="F33" s="1"/>
      <c r="G33" s="1"/>
      <c r="H33" s="1"/>
      <c r="I33" s="1"/>
      <c r="J33" s="1"/>
      <c r="K33" s="1"/>
      <c r="L33" s="1"/>
      <c r="N33" s="10"/>
      <c r="O33" s="5"/>
      <c r="P33" s="39"/>
      <c r="Q33" s="10"/>
      <c r="R33" s="5"/>
    </row>
    <row r="34" spans="1:18" ht="15.75">
      <c r="B34" s="41" t="s">
        <v>73</v>
      </c>
      <c r="C34" s="1"/>
      <c r="D34" s="1"/>
      <c r="E34" s="1"/>
      <c r="F34" s="1"/>
      <c r="G34" s="1"/>
      <c r="H34" s="1"/>
      <c r="I34" s="1"/>
      <c r="J34" s="1"/>
      <c r="K34" s="1"/>
      <c r="L34" s="1"/>
      <c r="N34" s="10"/>
      <c r="O34" s="5"/>
      <c r="P34" s="39"/>
      <c r="Q34" s="10"/>
      <c r="R34" s="5"/>
    </row>
    <row r="35" spans="1:18" ht="15.75">
      <c r="B35" s="41" t="s">
        <v>201</v>
      </c>
      <c r="C35" s="1"/>
      <c r="D35" s="1"/>
      <c r="E35" s="1"/>
      <c r="F35" s="1"/>
      <c r="G35" s="1"/>
      <c r="H35" s="1"/>
      <c r="I35" s="1"/>
      <c r="J35" s="1"/>
      <c r="K35" s="1"/>
      <c r="L35" s="1"/>
      <c r="N35" s="10"/>
      <c r="O35" s="5"/>
      <c r="P35" s="39"/>
      <c r="Q35" s="10"/>
      <c r="R35" s="5"/>
    </row>
    <row r="36" spans="1:18" ht="15.75">
      <c r="B36" s="41" t="s">
        <v>74</v>
      </c>
      <c r="C36" s="1"/>
      <c r="D36" s="1"/>
      <c r="E36" s="1"/>
      <c r="F36" s="1"/>
      <c r="G36" s="1"/>
      <c r="H36" s="1"/>
      <c r="I36" s="1"/>
      <c r="J36" s="1"/>
      <c r="K36" s="1"/>
      <c r="L36" s="1"/>
      <c r="N36" s="10"/>
      <c r="O36" s="5"/>
      <c r="P36" s="39"/>
      <c r="Q36" s="10"/>
      <c r="R36" s="5"/>
    </row>
    <row r="37" spans="1:18">
      <c r="B37" s="46">
        <f>N27</f>
        <v>3391.2</v>
      </c>
      <c r="C37" s="1"/>
      <c r="D37" s="1" t="s">
        <v>4</v>
      </c>
      <c r="E37" s="1">
        <v>4.5</v>
      </c>
      <c r="F37" s="1" t="s">
        <v>40</v>
      </c>
      <c r="G37" s="1">
        <v>112</v>
      </c>
      <c r="H37" s="1"/>
      <c r="I37" s="1"/>
      <c r="J37" s="1"/>
      <c r="K37" s="1"/>
      <c r="L37" s="1"/>
      <c r="M37" t="s">
        <v>5</v>
      </c>
      <c r="N37" s="49">
        <f>B37*E37/G37</f>
        <v>136.25357142857143</v>
      </c>
      <c r="O37" s="5" t="s">
        <v>75</v>
      </c>
      <c r="P37" s="39"/>
      <c r="Q37" s="10"/>
      <c r="R37" s="5"/>
    </row>
    <row r="38" spans="1:18" ht="15.75">
      <c r="B38" s="41" t="s">
        <v>67</v>
      </c>
      <c r="C38" s="1"/>
      <c r="D38" s="1"/>
      <c r="E38" s="1"/>
      <c r="F38" s="1"/>
      <c r="G38" s="1"/>
      <c r="H38" s="1"/>
      <c r="I38" s="1"/>
      <c r="J38" s="1"/>
      <c r="K38" s="1"/>
      <c r="L38" s="1"/>
      <c r="N38" s="10"/>
      <c r="O38" s="5"/>
      <c r="P38" s="39"/>
      <c r="Q38" s="10"/>
      <c r="R38" s="5"/>
    </row>
    <row r="39" spans="1:18">
      <c r="B39" s="46">
        <f>N24</f>
        <v>348.95989650000007</v>
      </c>
      <c r="C39" s="1"/>
      <c r="D39" s="1" t="s">
        <v>4</v>
      </c>
      <c r="E39" s="1">
        <v>8</v>
      </c>
      <c r="F39" s="1" t="s">
        <v>40</v>
      </c>
      <c r="G39" s="1">
        <v>112</v>
      </c>
      <c r="H39" s="1"/>
      <c r="I39" s="1"/>
      <c r="J39" s="1"/>
      <c r="K39" s="1"/>
      <c r="L39" s="1"/>
      <c r="M39" t="s">
        <v>5</v>
      </c>
      <c r="N39" s="77">
        <f>B39*E39/G39</f>
        <v>24.925706892857146</v>
      </c>
      <c r="O39" s="24" t="s">
        <v>75</v>
      </c>
      <c r="P39" s="39"/>
      <c r="Q39" s="10"/>
      <c r="R39" s="5"/>
    </row>
    <row r="40" spans="1:18">
      <c r="B40" s="46"/>
      <c r="C40" s="1"/>
      <c r="D40" s="1"/>
      <c r="E40" s="1"/>
      <c r="F40" s="1"/>
      <c r="G40" s="1"/>
      <c r="H40" s="1"/>
      <c r="I40" s="1"/>
      <c r="J40" s="1"/>
      <c r="K40" s="1"/>
      <c r="L40" s="1"/>
      <c r="N40" s="78">
        <f>SUM(N37:N39)</f>
        <v>161.17927832142857</v>
      </c>
      <c r="O40" s="81" t="s">
        <v>75</v>
      </c>
      <c r="P40" s="39"/>
      <c r="Q40" s="10"/>
      <c r="R40" s="5"/>
    </row>
    <row r="41" spans="1:18">
      <c r="B41" s="46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N41" s="78"/>
      <c r="O41" s="81"/>
      <c r="P41" s="39"/>
      <c r="Q41" s="175"/>
      <c r="R41" s="5"/>
    </row>
    <row r="42" spans="1:18">
      <c r="B42" s="46">
        <f>N40</f>
        <v>161.17927832142857</v>
      </c>
      <c r="C42" s="57" t="str">
        <f>O37</f>
        <v>Cwt.</v>
      </c>
      <c r="D42" s="1"/>
      <c r="E42" s="1"/>
      <c r="F42" s="1"/>
      <c r="G42" s="1"/>
      <c r="H42" s="1"/>
      <c r="I42" s="1"/>
      <c r="J42" s="1"/>
      <c r="K42" s="1"/>
      <c r="L42" s="1"/>
      <c r="M42" s="10" t="str">
        <f>M31</f>
        <v xml:space="preserve"> @Rs:</v>
      </c>
      <c r="N42" s="5">
        <v>5001.7</v>
      </c>
      <c r="O42" s="39" t="s">
        <v>76</v>
      </c>
      <c r="P42" s="10" t="s">
        <v>31</v>
      </c>
      <c r="Q42" s="11">
        <f>B42*N42</f>
        <v>806170.39638028922</v>
      </c>
    </row>
    <row r="43" spans="1:18">
      <c r="C43" s="1"/>
      <c r="D43" s="1"/>
      <c r="E43" s="1"/>
      <c r="F43" s="1"/>
      <c r="G43" s="1"/>
      <c r="H43" s="1"/>
      <c r="I43" s="1"/>
      <c r="J43" s="1"/>
      <c r="K43" s="1"/>
      <c r="L43" s="1"/>
      <c r="N43" s="10"/>
      <c r="O43" s="5"/>
      <c r="P43" s="39"/>
      <c r="Q43" s="10"/>
      <c r="R43" s="5"/>
    </row>
    <row r="44" spans="1:18" ht="15.75">
      <c r="A44">
        <v>4</v>
      </c>
      <c r="B44" s="41" t="s">
        <v>77</v>
      </c>
      <c r="C44" s="1"/>
      <c r="D44" s="1"/>
      <c r="E44" s="1"/>
      <c r="F44" s="1"/>
      <c r="G44" s="1"/>
      <c r="H44" s="1"/>
      <c r="I44" s="1"/>
      <c r="J44" s="1"/>
      <c r="K44" s="1"/>
      <c r="L44" s="1"/>
      <c r="N44" s="10"/>
      <c r="O44" s="5"/>
      <c r="P44" s="39"/>
      <c r="Q44" s="10"/>
      <c r="R44" s="5"/>
    </row>
    <row r="45" spans="1:18" ht="15.75">
      <c r="B45" s="41" t="s">
        <v>78</v>
      </c>
      <c r="C45" s="1"/>
      <c r="D45" s="1"/>
      <c r="E45" s="1"/>
      <c r="F45" s="1"/>
      <c r="G45" s="1"/>
      <c r="H45" s="1"/>
      <c r="I45" s="1"/>
      <c r="J45" s="1"/>
      <c r="K45" s="1"/>
      <c r="L45" s="1"/>
      <c r="N45" s="10"/>
      <c r="O45" s="5"/>
      <c r="P45" s="39"/>
      <c r="Q45" s="10"/>
      <c r="R45" s="5"/>
    </row>
    <row r="46" spans="1:18" ht="15.75">
      <c r="B46" s="41" t="s">
        <v>202</v>
      </c>
      <c r="C46" s="1"/>
      <c r="D46" s="1"/>
      <c r="E46" s="1"/>
      <c r="F46" s="1"/>
      <c r="G46" s="1"/>
      <c r="H46" s="1"/>
      <c r="I46" s="1"/>
      <c r="J46" s="1"/>
      <c r="K46" s="1"/>
      <c r="L46" s="1"/>
      <c r="N46" s="10"/>
      <c r="O46" s="5"/>
      <c r="P46" s="39"/>
      <c r="Q46" s="10"/>
      <c r="R46" s="5"/>
    </row>
    <row r="47" spans="1:18">
      <c r="B47" s="83" t="s">
        <v>79</v>
      </c>
      <c r="C47" s="1">
        <f>C25</f>
        <v>2</v>
      </c>
      <c r="D47" s="1" t="s">
        <v>4</v>
      </c>
      <c r="E47" s="1">
        <v>0.78500000000000003</v>
      </c>
      <c r="F47" s="1" t="s">
        <v>4</v>
      </c>
      <c r="G47" s="1">
        <f>S2+2.5</f>
        <v>22.5</v>
      </c>
      <c r="H47" s="1" t="s">
        <v>4</v>
      </c>
      <c r="I47" s="1">
        <f>G47</f>
        <v>22.5</v>
      </c>
      <c r="J47" s="1" t="s">
        <v>4</v>
      </c>
      <c r="K47" s="1">
        <v>5</v>
      </c>
      <c r="L47" s="1"/>
      <c r="M47" t="s">
        <v>5</v>
      </c>
      <c r="N47" s="49">
        <f>C47*E47*G47*I47*K47</f>
        <v>3974.0625000000005</v>
      </c>
      <c r="O47" s="5" t="s">
        <v>37</v>
      </c>
      <c r="P47" s="39"/>
      <c r="Q47" s="10"/>
      <c r="R47" s="5"/>
    </row>
    <row r="48" spans="1:18">
      <c r="C48" s="1">
        <v>1</v>
      </c>
      <c r="D48" s="1" t="s">
        <v>4</v>
      </c>
      <c r="E48" s="1">
        <v>0.78500000000000003</v>
      </c>
      <c r="F48" s="1" t="s">
        <v>4</v>
      </c>
      <c r="G48" s="1">
        <f>S3+2.5</f>
        <v>12.5</v>
      </c>
      <c r="H48" s="1" t="s">
        <v>4</v>
      </c>
      <c r="I48" s="1">
        <f>G48</f>
        <v>12.5</v>
      </c>
      <c r="J48" s="1" t="s">
        <v>4</v>
      </c>
      <c r="K48" s="1">
        <v>5</v>
      </c>
      <c r="L48" s="1"/>
      <c r="M48" t="s">
        <v>5</v>
      </c>
      <c r="N48" s="77">
        <f>C48*E48*G48*I48*K48</f>
        <v>613.28125</v>
      </c>
      <c r="O48" s="24" t="s">
        <v>37</v>
      </c>
      <c r="P48" s="39"/>
      <c r="Q48" s="10"/>
      <c r="R48" s="5"/>
    </row>
    <row r="49" spans="2:18">
      <c r="C49" s="1"/>
      <c r="D49" s="1"/>
      <c r="E49" s="1"/>
      <c r="F49" s="1"/>
      <c r="G49" s="1"/>
      <c r="H49" s="1"/>
      <c r="I49" s="1"/>
      <c r="J49" s="1"/>
      <c r="K49" s="1"/>
      <c r="L49" s="1"/>
      <c r="N49" s="78">
        <f>N47+N48</f>
        <v>4587.34375</v>
      </c>
      <c r="O49" s="81" t="s">
        <v>37</v>
      </c>
      <c r="P49" s="39"/>
      <c r="Q49" s="10"/>
      <c r="R49" s="5"/>
    </row>
    <row r="50" spans="2:18"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N50" s="78"/>
      <c r="O50" s="81"/>
      <c r="P50" s="39"/>
      <c r="Q50" s="175"/>
      <c r="R50" s="5"/>
    </row>
    <row r="51" spans="2:18">
      <c r="B51" s="46">
        <f>N49</f>
        <v>4587.34375</v>
      </c>
      <c r="C51" s="57" t="str">
        <f>O49</f>
        <v>Cft.</v>
      </c>
      <c r="D51" s="1"/>
      <c r="E51" s="1"/>
      <c r="F51" s="1"/>
      <c r="G51" s="1"/>
      <c r="H51" s="1"/>
      <c r="I51" s="1"/>
      <c r="J51" s="1"/>
      <c r="K51" s="1"/>
      <c r="L51" s="1"/>
      <c r="M51" s="10" t="str">
        <f>M42</f>
        <v xml:space="preserve"> @Rs:</v>
      </c>
      <c r="N51" s="18">
        <v>11763.8</v>
      </c>
      <c r="O51" s="39" t="s">
        <v>3</v>
      </c>
      <c r="P51" s="10" t="s">
        <v>31</v>
      </c>
      <c r="Q51" s="11">
        <f>B51*N51/1000</f>
        <v>53964.594406249998</v>
      </c>
    </row>
    <row r="52" spans="2:18">
      <c r="C52" s="1"/>
      <c r="D52" s="1"/>
      <c r="E52" s="1"/>
      <c r="F52" s="1"/>
      <c r="G52" s="1"/>
      <c r="H52" s="1"/>
      <c r="I52" s="1"/>
      <c r="J52" s="1"/>
      <c r="K52" s="1"/>
      <c r="L52" s="1"/>
      <c r="N52" s="10"/>
      <c r="O52" s="5"/>
      <c r="P52" s="39"/>
      <c r="Q52" s="10"/>
      <c r="R52" s="5"/>
    </row>
    <row r="53" spans="2:18">
      <c r="B53" s="83" t="s">
        <v>80</v>
      </c>
      <c r="C53" s="1">
        <f>C47</f>
        <v>2</v>
      </c>
      <c r="D53" s="1" t="s">
        <v>4</v>
      </c>
      <c r="E53" s="1">
        <v>0.78500000000000003</v>
      </c>
      <c r="F53" s="1" t="s">
        <v>4</v>
      </c>
      <c r="G53" s="1">
        <f>G47</f>
        <v>22.5</v>
      </c>
      <c r="H53" s="1" t="s">
        <v>4</v>
      </c>
      <c r="I53" s="1">
        <f>G53</f>
        <v>22.5</v>
      </c>
      <c r="J53" s="1" t="s">
        <v>4</v>
      </c>
      <c r="K53" s="1">
        <v>5</v>
      </c>
      <c r="L53" s="1"/>
      <c r="M53" t="s">
        <v>5</v>
      </c>
      <c r="N53" s="49">
        <f>C53*E53*G53*I53*K53</f>
        <v>3974.0625000000005</v>
      </c>
      <c r="O53" s="5" t="s">
        <v>37</v>
      </c>
      <c r="P53" s="39"/>
      <c r="Q53" s="10"/>
      <c r="R53" s="5"/>
    </row>
    <row r="54" spans="2:18">
      <c r="C54" s="1">
        <f>C48</f>
        <v>1</v>
      </c>
      <c r="D54" s="1" t="s">
        <v>4</v>
      </c>
      <c r="E54" s="1">
        <v>0.78500000000000003</v>
      </c>
      <c r="F54" s="1" t="s">
        <v>4</v>
      </c>
      <c r="G54" s="1">
        <f>G48</f>
        <v>12.5</v>
      </c>
      <c r="H54" s="1" t="s">
        <v>4</v>
      </c>
      <c r="I54" s="1">
        <f>G54</f>
        <v>12.5</v>
      </c>
      <c r="J54" s="1" t="s">
        <v>4</v>
      </c>
      <c r="K54" s="1">
        <v>5</v>
      </c>
      <c r="L54" s="1"/>
      <c r="M54" t="s">
        <v>5</v>
      </c>
      <c r="N54" s="77">
        <f>C54*E54*G54*I54*K54</f>
        <v>613.28125</v>
      </c>
      <c r="O54" s="24" t="s">
        <v>37</v>
      </c>
      <c r="P54" s="39"/>
      <c r="Q54" s="10"/>
      <c r="R54" s="5"/>
    </row>
    <row r="55" spans="2:18">
      <c r="C55" s="1"/>
      <c r="D55" s="1"/>
      <c r="E55" s="1"/>
      <c r="F55" s="1"/>
      <c r="G55" s="1"/>
      <c r="H55" s="1"/>
      <c r="I55" s="1"/>
      <c r="J55" s="1"/>
      <c r="K55" s="1"/>
      <c r="L55" s="1"/>
      <c r="N55" s="78">
        <f>N53+N54</f>
        <v>4587.34375</v>
      </c>
      <c r="O55" s="81" t="s">
        <v>37</v>
      </c>
      <c r="P55" s="39"/>
      <c r="Q55" s="10"/>
      <c r="R55" s="5"/>
    </row>
    <row r="56" spans="2:18"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N56" s="78"/>
      <c r="O56" s="81"/>
      <c r="P56" s="39"/>
      <c r="Q56" s="175"/>
      <c r="R56" s="5"/>
    </row>
    <row r="57" spans="2:18">
      <c r="B57" s="46">
        <f>N55</f>
        <v>4587.34375</v>
      </c>
      <c r="C57" s="57" t="str">
        <f>O55</f>
        <v>Cft.</v>
      </c>
      <c r="D57" s="1"/>
      <c r="E57" s="1"/>
      <c r="F57" s="1"/>
      <c r="G57" s="1"/>
      <c r="H57" s="1"/>
      <c r="I57" s="1"/>
      <c r="J57" s="1"/>
      <c r="K57" s="1"/>
      <c r="L57" s="1"/>
      <c r="M57" s="10" t="s">
        <v>32</v>
      </c>
      <c r="N57" s="18">
        <v>24200</v>
      </c>
      <c r="O57" s="39" t="s">
        <v>3</v>
      </c>
      <c r="P57" s="10" t="s">
        <v>31</v>
      </c>
      <c r="Q57" s="11">
        <f>B57*N57/1000</f>
        <v>111013.71875</v>
      </c>
    </row>
    <row r="58" spans="2:18">
      <c r="B58" s="84"/>
      <c r="C58" s="4"/>
      <c r="D58" s="1"/>
      <c r="E58" s="1"/>
      <c r="F58" s="1"/>
      <c r="G58" s="1"/>
      <c r="H58" s="1"/>
      <c r="I58" s="1"/>
      <c r="J58" s="1"/>
      <c r="K58" s="1"/>
      <c r="L58" s="1"/>
      <c r="M58" s="10"/>
      <c r="N58" s="18"/>
      <c r="O58" s="39"/>
      <c r="P58" s="10"/>
      <c r="Q58" s="11"/>
    </row>
    <row r="59" spans="2:18">
      <c r="B59" s="76" t="s">
        <v>81</v>
      </c>
      <c r="C59" s="1">
        <f>C47</f>
        <v>2</v>
      </c>
      <c r="D59" s="1" t="s">
        <v>4</v>
      </c>
      <c r="E59" s="1">
        <f>E47</f>
        <v>0.78500000000000003</v>
      </c>
      <c r="F59" s="1" t="s">
        <v>4</v>
      </c>
      <c r="G59" s="1">
        <f>G47</f>
        <v>22.5</v>
      </c>
      <c r="H59" s="1" t="s">
        <v>4</v>
      </c>
      <c r="I59" s="1">
        <f>I47</f>
        <v>22.5</v>
      </c>
      <c r="J59" s="1" t="s">
        <v>4</v>
      </c>
      <c r="K59" s="1">
        <v>5</v>
      </c>
      <c r="L59" s="1"/>
      <c r="M59" t="s">
        <v>5</v>
      </c>
      <c r="N59" s="49">
        <f>C59*E59*G59*I59*K59</f>
        <v>3974.0625000000005</v>
      </c>
      <c r="O59" s="5" t="s">
        <v>37</v>
      </c>
      <c r="P59" s="39"/>
      <c r="Q59" s="10"/>
      <c r="R59" s="5"/>
    </row>
    <row r="60" spans="2:18">
      <c r="C60" s="1">
        <f>C54</f>
        <v>1</v>
      </c>
      <c r="D60" s="1" t="s">
        <v>4</v>
      </c>
      <c r="E60" s="1">
        <f>E48</f>
        <v>0.78500000000000003</v>
      </c>
      <c r="F60" s="1" t="s">
        <v>4</v>
      </c>
      <c r="G60" s="1">
        <f>G48</f>
        <v>12.5</v>
      </c>
      <c r="H60" s="1" t="s">
        <v>4</v>
      </c>
      <c r="I60" s="1">
        <f>I48</f>
        <v>12.5</v>
      </c>
      <c r="J60" s="1" t="s">
        <v>4</v>
      </c>
      <c r="K60" s="1">
        <v>2</v>
      </c>
      <c r="L60" s="1"/>
      <c r="M60" t="s">
        <v>5</v>
      </c>
      <c r="N60" s="77">
        <f>C60*E60*G60*I60*K60</f>
        <v>245.3125</v>
      </c>
      <c r="O60" s="24" t="s">
        <v>37</v>
      </c>
      <c r="P60" s="39"/>
      <c r="Q60" s="10"/>
      <c r="R60" s="5"/>
    </row>
    <row r="61" spans="2:18">
      <c r="C61" s="1"/>
      <c r="D61" s="1"/>
      <c r="E61" s="1"/>
      <c r="F61" s="1"/>
      <c r="G61" s="1"/>
      <c r="H61" s="1"/>
      <c r="I61" s="1"/>
      <c r="J61" s="1"/>
      <c r="K61" s="1"/>
      <c r="L61" s="1"/>
      <c r="N61" s="78">
        <f>N60+N59</f>
        <v>4219.375</v>
      </c>
      <c r="O61" s="81" t="s">
        <v>37</v>
      </c>
      <c r="P61" s="39"/>
      <c r="Q61" s="10"/>
      <c r="R61" s="5"/>
    </row>
    <row r="62" spans="2:18">
      <c r="B62" s="46">
        <f>N61</f>
        <v>4219.375</v>
      </c>
      <c r="C62" s="57" t="str">
        <f>O61</f>
        <v>Cft.</v>
      </c>
      <c r="D62" s="1"/>
      <c r="E62" s="1"/>
      <c r="F62" s="1"/>
      <c r="G62" s="1"/>
      <c r="H62" s="1"/>
      <c r="I62" s="1"/>
      <c r="J62" s="1"/>
      <c r="K62" s="1"/>
      <c r="L62" s="1"/>
      <c r="M62" s="10" t="str">
        <f>M51</f>
        <v xml:space="preserve"> @Rs:</v>
      </c>
      <c r="N62" s="5">
        <v>37230.769999999997</v>
      </c>
      <c r="O62" s="39" t="s">
        <v>3</v>
      </c>
      <c r="P62" s="10" t="s">
        <v>31</v>
      </c>
      <c r="Q62" s="11">
        <f>B62*N62/1000</f>
        <v>157090.58016874999</v>
      </c>
    </row>
    <row r="63" spans="2:18" hidden="1">
      <c r="C63" s="1"/>
      <c r="D63" s="1"/>
      <c r="E63" s="1"/>
      <c r="F63" s="1"/>
      <c r="G63" s="1"/>
      <c r="H63" s="1"/>
      <c r="I63" s="1"/>
      <c r="J63" s="1"/>
      <c r="K63" s="1"/>
      <c r="L63" s="1"/>
      <c r="N63" s="10"/>
      <c r="O63" s="5"/>
      <c r="P63" s="39"/>
      <c r="Q63" s="10"/>
      <c r="R63" s="5"/>
    </row>
    <row r="64" spans="2:18" hidden="1">
      <c r="B64" s="76" t="s">
        <v>82</v>
      </c>
      <c r="C64" s="1">
        <f>C59</f>
        <v>2</v>
      </c>
      <c r="D64" s="1" t="s">
        <v>4</v>
      </c>
      <c r="E64" s="1">
        <f>E59</f>
        <v>0.78500000000000003</v>
      </c>
      <c r="F64" s="1" t="s">
        <v>4</v>
      </c>
      <c r="G64" s="1">
        <f>G59</f>
        <v>22.5</v>
      </c>
      <c r="H64" s="1" t="s">
        <v>4</v>
      </c>
      <c r="I64" s="1">
        <f>I59</f>
        <v>22.5</v>
      </c>
      <c r="J64" s="1" t="s">
        <v>4</v>
      </c>
      <c r="K64" s="1"/>
      <c r="L64" s="1"/>
      <c r="M64" t="str">
        <f>M60</f>
        <v xml:space="preserve"> =</v>
      </c>
      <c r="N64" s="49">
        <f>C64*E64*G64*I64*K64</f>
        <v>0</v>
      </c>
      <c r="O64" s="5" t="s">
        <v>37</v>
      </c>
      <c r="P64" s="39"/>
      <c r="Q64" s="10"/>
      <c r="R64" s="5"/>
    </row>
    <row r="65" spans="1:18" hidden="1">
      <c r="C65" s="1">
        <v>0</v>
      </c>
      <c r="D65" s="1" t="s">
        <v>4</v>
      </c>
      <c r="E65" s="1">
        <f>E54</f>
        <v>0.78500000000000003</v>
      </c>
      <c r="F65" s="1" t="s">
        <v>4</v>
      </c>
      <c r="G65" s="1">
        <f>G54</f>
        <v>12.5</v>
      </c>
      <c r="H65" s="1" t="s">
        <v>4</v>
      </c>
      <c r="I65" s="1">
        <f>I54</f>
        <v>12.5</v>
      </c>
      <c r="J65" s="1" t="s">
        <v>4</v>
      </c>
      <c r="K65" s="1"/>
      <c r="L65" s="1"/>
      <c r="M65" t="s">
        <v>5</v>
      </c>
      <c r="N65" s="79">
        <f>C65*E65*G65*I65*K65</f>
        <v>0</v>
      </c>
      <c r="O65" s="24" t="s">
        <v>37</v>
      </c>
      <c r="P65" s="39"/>
      <c r="Q65" s="10"/>
      <c r="R65" s="5"/>
    </row>
    <row r="66" spans="1:18" hidden="1">
      <c r="C66" s="1"/>
      <c r="D66" s="1"/>
      <c r="E66" s="1"/>
      <c r="F66" s="1"/>
      <c r="G66" s="1"/>
      <c r="H66" s="1"/>
      <c r="I66" s="1"/>
      <c r="J66" s="1"/>
      <c r="K66" s="1"/>
      <c r="L66" s="1"/>
      <c r="N66" s="85">
        <f>SUM(N64:N65)</f>
        <v>0</v>
      </c>
      <c r="O66" s="86" t="s">
        <v>37</v>
      </c>
      <c r="P66" s="39"/>
      <c r="Q66" s="10"/>
      <c r="R66" s="5"/>
    </row>
    <row r="67" spans="1:18" hidden="1">
      <c r="B67" s="46">
        <f>N64</f>
        <v>0</v>
      </c>
      <c r="C67" s="1" t="str">
        <f>O64</f>
        <v>Cft.</v>
      </c>
      <c r="D67" s="1"/>
      <c r="E67" s="1"/>
      <c r="F67" s="1"/>
      <c r="G67" s="1"/>
      <c r="H67" s="1"/>
      <c r="I67" s="1"/>
      <c r="J67" s="1"/>
      <c r="K67" s="1"/>
      <c r="L67" s="1"/>
      <c r="M67" s="10" t="str">
        <f>M62</f>
        <v xml:space="preserve"> @Rs:</v>
      </c>
      <c r="N67" s="18">
        <v>50416.67</v>
      </c>
      <c r="O67" s="39" t="s">
        <v>3</v>
      </c>
      <c r="P67" s="10" t="s">
        <v>31</v>
      </c>
      <c r="Q67" s="11">
        <f>B67*N67/1000</f>
        <v>0</v>
      </c>
    </row>
    <row r="68" spans="1:18" hidden="1">
      <c r="C68" s="1"/>
      <c r="D68" s="1"/>
      <c r="E68" s="1"/>
      <c r="F68" s="1"/>
      <c r="G68" s="1"/>
      <c r="H68" s="1"/>
      <c r="I68" s="1"/>
      <c r="J68" s="1"/>
      <c r="K68" s="1"/>
      <c r="L68" s="1"/>
      <c r="N68" s="10"/>
      <c r="O68" s="5"/>
      <c r="P68" s="39"/>
      <c r="Q68" s="10"/>
      <c r="R68" s="11" t="s">
        <v>26</v>
      </c>
    </row>
    <row r="69" spans="1:18" hidden="1">
      <c r="B69" s="76" t="s">
        <v>83</v>
      </c>
      <c r="C69" s="1">
        <v>0</v>
      </c>
      <c r="D69" s="1" t="s">
        <v>4</v>
      </c>
      <c r="E69" s="1">
        <f>E64</f>
        <v>0.78500000000000003</v>
      </c>
      <c r="F69" s="1" t="s">
        <v>4</v>
      </c>
      <c r="G69" s="1">
        <f>G64</f>
        <v>22.5</v>
      </c>
      <c r="H69" s="1" t="s">
        <v>4</v>
      </c>
      <c r="I69" s="1">
        <f>I64</f>
        <v>22.5</v>
      </c>
      <c r="J69" s="1" t="s">
        <v>4</v>
      </c>
      <c r="K69" s="1"/>
      <c r="L69" s="1"/>
      <c r="M69" t="str">
        <f>M65</f>
        <v xml:space="preserve"> =</v>
      </c>
      <c r="N69" s="49">
        <f>C69*E69*G69*I69*K69</f>
        <v>0</v>
      </c>
      <c r="O69" s="5" t="s">
        <v>37</v>
      </c>
      <c r="P69" s="39"/>
      <c r="Q69" s="10"/>
      <c r="R69" s="5"/>
    </row>
    <row r="70" spans="1:18" hidden="1">
      <c r="C70" s="1">
        <v>0</v>
      </c>
      <c r="D70" s="1" t="s">
        <v>4</v>
      </c>
      <c r="E70" s="1">
        <f>E60</f>
        <v>0.78500000000000003</v>
      </c>
      <c r="F70" s="1" t="s">
        <v>4</v>
      </c>
      <c r="G70" s="1">
        <f>G60</f>
        <v>12.5</v>
      </c>
      <c r="H70" s="1" t="s">
        <v>4</v>
      </c>
      <c r="I70" s="1">
        <f>I60</f>
        <v>12.5</v>
      </c>
      <c r="J70" s="1" t="s">
        <v>4</v>
      </c>
      <c r="K70" s="1"/>
      <c r="L70" s="1"/>
      <c r="M70" t="s">
        <v>5</v>
      </c>
      <c r="N70" s="79">
        <f>C70*E70*G70*I70*K70</f>
        <v>0</v>
      </c>
      <c r="O70" s="24" t="s">
        <v>37</v>
      </c>
      <c r="P70" s="39"/>
      <c r="Q70" s="10"/>
      <c r="R70" s="5"/>
    </row>
    <row r="71" spans="1:18" hidden="1">
      <c r="C71" s="1"/>
      <c r="D71" s="1"/>
      <c r="E71" s="1"/>
      <c r="F71" s="1"/>
      <c r="G71" s="1"/>
      <c r="H71" s="1"/>
      <c r="I71" s="1"/>
      <c r="J71" s="1"/>
      <c r="K71" s="1"/>
      <c r="L71" s="1"/>
      <c r="N71" s="85">
        <f>SUM(N69:N70)</f>
        <v>0</v>
      </c>
      <c r="O71" s="86" t="s">
        <v>37</v>
      </c>
      <c r="P71" s="39"/>
      <c r="Q71" s="10"/>
      <c r="R71" s="5"/>
    </row>
    <row r="72" spans="1:18" hidden="1">
      <c r="B72" s="46">
        <f>N69</f>
        <v>0</v>
      </c>
      <c r="C72" s="1" t="str">
        <f>O69</f>
        <v>Cft.</v>
      </c>
      <c r="D72" s="1"/>
      <c r="E72" s="1"/>
      <c r="F72" s="1"/>
      <c r="G72" s="1"/>
      <c r="H72" s="1"/>
      <c r="I72" s="1"/>
      <c r="J72" s="1"/>
      <c r="K72" s="1"/>
      <c r="L72" s="1"/>
      <c r="M72" s="10" t="str">
        <f>M67</f>
        <v xml:space="preserve"> @Rs:</v>
      </c>
      <c r="N72" s="18">
        <v>27846.58</v>
      </c>
      <c r="O72" s="39" t="s">
        <v>3</v>
      </c>
      <c r="P72" s="10" t="s">
        <v>31</v>
      </c>
      <c r="Q72" s="11">
        <f>B72*N72/1000</f>
        <v>0</v>
      </c>
    </row>
    <row r="73" spans="1:18" ht="15.75">
      <c r="A73">
        <v>5</v>
      </c>
      <c r="B73" s="87" t="s">
        <v>84</v>
      </c>
      <c r="C73" s="1"/>
      <c r="D73" s="1"/>
      <c r="E73" s="1"/>
      <c r="F73" s="1"/>
      <c r="G73" s="1"/>
      <c r="H73" s="1"/>
      <c r="I73" s="1"/>
      <c r="J73" s="1"/>
      <c r="K73" s="1"/>
      <c r="L73" s="1"/>
      <c r="N73" s="10"/>
      <c r="O73" s="5"/>
      <c r="P73" s="39"/>
      <c r="Q73" s="10"/>
      <c r="R73" s="11"/>
    </row>
    <row r="74" spans="1:18" ht="15.75">
      <c r="B74" s="41" t="s">
        <v>203</v>
      </c>
      <c r="C74" s="1"/>
      <c r="D74" s="1"/>
      <c r="E74" s="1"/>
      <c r="F74" s="1"/>
      <c r="G74" s="1"/>
      <c r="H74" s="1"/>
      <c r="I74" s="1"/>
      <c r="J74" s="1"/>
      <c r="K74" s="1"/>
      <c r="L74" s="1"/>
      <c r="N74" s="10"/>
      <c r="O74" s="5"/>
      <c r="P74" s="39"/>
      <c r="Q74" s="10"/>
      <c r="R74" s="11"/>
    </row>
    <row r="75" spans="1:18" ht="15.75">
      <c r="B75" s="41"/>
      <c r="C75" s="1">
        <f>C59</f>
        <v>2</v>
      </c>
      <c r="D75" s="1" t="s">
        <v>4</v>
      </c>
      <c r="E75" s="1">
        <v>0.78500000000000003</v>
      </c>
      <c r="F75" s="1" t="s">
        <v>4</v>
      </c>
      <c r="G75" s="74">
        <f>G21</f>
        <v>20.67</v>
      </c>
      <c r="H75" s="1" t="s">
        <v>4</v>
      </c>
      <c r="I75" s="74">
        <f>G75</f>
        <v>20.67</v>
      </c>
      <c r="J75" s="1" t="s">
        <v>4</v>
      </c>
      <c r="K75" s="1">
        <v>1.5</v>
      </c>
      <c r="L75" s="1"/>
      <c r="M75" t="s">
        <v>5</v>
      </c>
      <c r="N75" s="49">
        <f>K75*I75*G75*E75*C75</f>
        <v>1006.1711595000002</v>
      </c>
      <c r="O75" s="5" t="s">
        <v>37</v>
      </c>
      <c r="P75" s="39"/>
      <c r="Q75" s="10"/>
      <c r="R75" s="11"/>
    </row>
    <row r="76" spans="1:18" ht="15.75">
      <c r="B76" s="41"/>
      <c r="C76" s="1">
        <v>1</v>
      </c>
      <c r="D76" s="1" t="s">
        <v>4</v>
      </c>
      <c r="E76" s="1">
        <v>0.78500000000000003</v>
      </c>
      <c r="F76" s="1" t="s">
        <v>4</v>
      </c>
      <c r="G76" s="74">
        <f>G23</f>
        <v>10.67</v>
      </c>
      <c r="H76" s="1" t="s">
        <v>4</v>
      </c>
      <c r="I76" s="74">
        <f>G76</f>
        <v>10.67</v>
      </c>
      <c r="J76" s="1" t="s">
        <v>4</v>
      </c>
      <c r="K76" s="1">
        <f>K75</f>
        <v>1.5</v>
      </c>
      <c r="L76" s="1"/>
      <c r="M76" t="s">
        <v>5</v>
      </c>
      <c r="N76" s="88">
        <f>K76*I76*G76*E76*C76</f>
        <v>134.05707975000001</v>
      </c>
      <c r="O76" s="5" t="s">
        <v>37</v>
      </c>
      <c r="P76" s="39"/>
      <c r="Q76" s="10"/>
      <c r="R76" s="11"/>
    </row>
    <row r="77" spans="1:18">
      <c r="C77" s="1">
        <f>C75</f>
        <v>2</v>
      </c>
      <c r="D77" s="1" t="s">
        <v>4</v>
      </c>
      <c r="E77" s="1">
        <v>0.78500000000000003</v>
      </c>
      <c r="F77" s="1" t="s">
        <v>4</v>
      </c>
      <c r="G77" s="74">
        <f>S2-0.5</f>
        <v>19.5</v>
      </c>
      <c r="H77" s="1" t="s">
        <v>4</v>
      </c>
      <c r="I77" s="74">
        <f>G77</f>
        <v>19.5</v>
      </c>
      <c r="J77" s="1" t="s">
        <v>4</v>
      </c>
      <c r="K77" s="1">
        <v>0.5</v>
      </c>
      <c r="L77" s="1"/>
      <c r="M77" t="s">
        <v>5</v>
      </c>
      <c r="N77" s="88">
        <f>K77*I77*G77*E77*C77</f>
        <v>298.49625000000003</v>
      </c>
      <c r="O77" s="5" t="s">
        <v>37</v>
      </c>
      <c r="P77" s="39"/>
      <c r="Q77" s="10"/>
      <c r="R77" s="11"/>
    </row>
    <row r="78" spans="1:18">
      <c r="C78" s="1">
        <v>1</v>
      </c>
      <c r="D78" s="1" t="s">
        <v>4</v>
      </c>
      <c r="E78" s="1">
        <v>0.78500000000000003</v>
      </c>
      <c r="F78" s="1" t="s">
        <v>4</v>
      </c>
      <c r="G78" s="74">
        <f>S3-0.5</f>
        <v>9.5</v>
      </c>
      <c r="H78" s="1" t="s">
        <v>4</v>
      </c>
      <c r="I78" s="74">
        <f>G78</f>
        <v>9.5</v>
      </c>
      <c r="J78" s="1" t="s">
        <v>4</v>
      </c>
      <c r="K78" s="1">
        <f>K77</f>
        <v>0.5</v>
      </c>
      <c r="L78" s="1"/>
      <c r="M78" t="s">
        <v>5</v>
      </c>
      <c r="N78" s="77">
        <f>K78*I78*G78*E78*C78</f>
        <v>35.423124999999999</v>
      </c>
      <c r="O78" s="24" t="s">
        <v>37</v>
      </c>
      <c r="P78" s="39"/>
      <c r="Q78" s="10"/>
      <c r="R78" s="11"/>
    </row>
    <row r="79" spans="1:18">
      <c r="C79" s="1"/>
      <c r="D79" s="1"/>
      <c r="E79" s="1"/>
      <c r="F79" s="1"/>
      <c r="G79" s="1"/>
      <c r="H79" s="1"/>
      <c r="I79" s="1"/>
      <c r="J79" s="1"/>
      <c r="K79" s="1"/>
      <c r="L79" s="1"/>
      <c r="N79" s="78">
        <f>N78+N77+N76+N75</f>
        <v>1474.1476142500003</v>
      </c>
      <c r="O79" s="81" t="s">
        <v>37</v>
      </c>
      <c r="P79" s="39"/>
      <c r="Q79" s="10"/>
      <c r="R79" s="11"/>
    </row>
    <row r="80" spans="1:18">
      <c r="B80" s="84">
        <f>N79</f>
        <v>1474.1476142500003</v>
      </c>
      <c r="C80" s="4" t="str">
        <f>O79</f>
        <v>Cft.</v>
      </c>
      <c r="D80" s="1"/>
      <c r="E80" s="1"/>
      <c r="F80" s="1"/>
      <c r="G80" s="1"/>
      <c r="H80" s="1"/>
      <c r="I80" s="1"/>
      <c r="J80" s="1"/>
      <c r="K80" s="1"/>
      <c r="L80" s="1"/>
      <c r="M80" s="62" t="str">
        <f>M67</f>
        <v xml:space="preserve"> @Rs:</v>
      </c>
      <c r="N80" s="18">
        <v>9416.2800000000007</v>
      </c>
      <c r="O80" s="39" t="s">
        <v>39</v>
      </c>
      <c r="P80" s="10" t="s">
        <v>31</v>
      </c>
      <c r="Q80" s="11">
        <f>B80*N80/100</f>
        <v>138809.86697109992</v>
      </c>
    </row>
    <row r="81" spans="1:18">
      <c r="C81" s="1"/>
      <c r="D81" s="1"/>
      <c r="E81" s="1"/>
      <c r="F81" s="1"/>
      <c r="G81" s="1"/>
      <c r="H81" s="1"/>
      <c r="I81" s="1"/>
      <c r="J81" s="1"/>
      <c r="K81" s="1"/>
      <c r="L81" s="1"/>
      <c r="N81" s="78"/>
      <c r="O81" s="5"/>
      <c r="P81" s="39"/>
      <c r="Q81" s="10"/>
      <c r="R81" s="11"/>
    </row>
    <row r="82" spans="1:18" ht="15.75">
      <c r="A82">
        <v>6</v>
      </c>
      <c r="B82" s="41" t="s">
        <v>85</v>
      </c>
      <c r="C82" s="1"/>
      <c r="D82" s="1"/>
      <c r="E82" s="1"/>
      <c r="F82" s="1"/>
      <c r="G82" s="1"/>
      <c r="H82" s="1"/>
      <c r="I82" s="1"/>
      <c r="J82" s="1"/>
      <c r="K82" s="1"/>
      <c r="L82" s="1"/>
      <c r="N82" s="10"/>
      <c r="O82" s="5"/>
      <c r="P82" s="39"/>
      <c r="Q82" s="10"/>
      <c r="R82" s="5"/>
    </row>
    <row r="83" spans="1:18" ht="15.75">
      <c r="B83" s="41" t="s">
        <v>86</v>
      </c>
      <c r="C83" s="1"/>
      <c r="D83" s="1"/>
      <c r="E83" s="1"/>
      <c r="F83" s="1"/>
      <c r="G83" s="1"/>
      <c r="H83" s="1"/>
      <c r="I83" s="1"/>
      <c r="J83" s="1"/>
      <c r="K83" s="1"/>
      <c r="L83" s="1"/>
      <c r="N83" s="10"/>
      <c r="O83" s="5"/>
      <c r="P83" s="39"/>
      <c r="Q83" s="10"/>
      <c r="R83" s="5"/>
    </row>
    <row r="84" spans="1:18">
      <c r="B84" s="7" t="s">
        <v>204</v>
      </c>
      <c r="C84" s="1"/>
      <c r="D84" s="1"/>
      <c r="E84" s="1"/>
      <c r="F84" s="1"/>
      <c r="G84" s="1"/>
      <c r="H84" s="1"/>
      <c r="I84" s="1"/>
      <c r="J84" s="1"/>
      <c r="K84" s="1"/>
      <c r="L84" s="1"/>
      <c r="N84" s="10"/>
      <c r="O84" s="5"/>
      <c r="P84" s="39"/>
      <c r="Q84" s="10"/>
      <c r="R84" s="5"/>
    </row>
    <row r="85" spans="1:18">
      <c r="A85" s="7" t="s">
        <v>316</v>
      </c>
      <c r="B85" s="76" t="s">
        <v>313</v>
      </c>
      <c r="C85" s="1"/>
      <c r="D85" s="1"/>
      <c r="E85" s="1"/>
      <c r="F85" s="1"/>
      <c r="G85" s="1"/>
      <c r="H85" s="1"/>
      <c r="I85" s="1"/>
      <c r="J85" s="1"/>
      <c r="K85" s="1"/>
      <c r="L85" s="1"/>
      <c r="N85" s="10"/>
      <c r="O85" s="5"/>
      <c r="P85" s="39"/>
      <c r="Q85" s="10"/>
      <c r="R85" s="5"/>
    </row>
    <row r="86" spans="1:18">
      <c r="C86" s="1">
        <f>C75</f>
        <v>2</v>
      </c>
      <c r="D86" s="1" t="s">
        <v>4</v>
      </c>
      <c r="E86" s="1">
        <v>0.78500000000000003</v>
      </c>
      <c r="F86" s="1" t="s">
        <v>4</v>
      </c>
      <c r="G86" s="1">
        <f>S2</f>
        <v>20</v>
      </c>
      <c r="H86" s="1" t="s">
        <v>4</v>
      </c>
      <c r="I86" s="1">
        <f>G86</f>
        <v>20</v>
      </c>
      <c r="J86" s="1" t="s">
        <v>4</v>
      </c>
      <c r="K86" s="1">
        <v>1.5</v>
      </c>
      <c r="L86" s="1"/>
      <c r="M86" t="s">
        <v>5</v>
      </c>
      <c r="N86" s="49">
        <f>K86*I86*G86*E86*C86</f>
        <v>942</v>
      </c>
      <c r="O86" s="5" t="s">
        <v>37</v>
      </c>
      <c r="P86" s="39"/>
      <c r="Q86" s="10"/>
      <c r="R86" s="5"/>
    </row>
    <row r="87" spans="1:18">
      <c r="C87" s="1">
        <v>1</v>
      </c>
      <c r="D87" s="1" t="s">
        <v>4</v>
      </c>
      <c r="E87" s="1">
        <v>0.78500000000000003</v>
      </c>
      <c r="F87" s="1" t="s">
        <v>4</v>
      </c>
      <c r="G87" s="1">
        <f>S3</f>
        <v>10</v>
      </c>
      <c r="H87" s="1" t="s">
        <v>4</v>
      </c>
      <c r="I87" s="1">
        <f>G87</f>
        <v>10</v>
      </c>
      <c r="J87" s="1" t="s">
        <v>4</v>
      </c>
      <c r="K87" s="1">
        <v>1</v>
      </c>
      <c r="L87" s="1"/>
      <c r="M87" t="s">
        <v>5</v>
      </c>
      <c r="N87" s="77">
        <f>K87*I87*G87*E87*C87</f>
        <v>78.5</v>
      </c>
      <c r="O87" s="5" t="s">
        <v>37</v>
      </c>
      <c r="P87" s="39"/>
      <c r="Q87" s="10"/>
      <c r="R87" s="5"/>
    </row>
    <row r="88" spans="1:18">
      <c r="C88" s="1"/>
      <c r="D88" s="1"/>
      <c r="E88" s="1"/>
      <c r="F88" s="1"/>
      <c r="G88" s="1"/>
      <c r="H88" s="1"/>
      <c r="I88" s="1"/>
      <c r="J88" s="1"/>
      <c r="K88" s="1"/>
      <c r="L88" s="1"/>
      <c r="N88" s="78">
        <f>SUM(N86:N87)</f>
        <v>1020.5</v>
      </c>
      <c r="O88" s="5" t="s">
        <v>37</v>
      </c>
      <c r="P88" s="39"/>
      <c r="Q88" s="10"/>
      <c r="R88" s="5"/>
    </row>
    <row r="89" spans="1:18">
      <c r="B89" s="84">
        <f>N88</f>
        <v>1020.5</v>
      </c>
      <c r="C89" s="1" t="str">
        <f>O88</f>
        <v>Cft.</v>
      </c>
      <c r="D89" s="1"/>
      <c r="E89" s="1"/>
      <c r="F89" s="1"/>
      <c r="G89" s="1"/>
      <c r="H89" s="1"/>
      <c r="I89" s="1"/>
      <c r="J89" s="1"/>
      <c r="K89" s="1"/>
      <c r="L89" s="1"/>
      <c r="M89" s="49" t="str">
        <f>M80</f>
        <v xml:space="preserve"> @Rs:</v>
      </c>
      <c r="N89" s="18">
        <v>11288.75</v>
      </c>
      <c r="O89" s="39" t="s">
        <v>39</v>
      </c>
      <c r="P89" s="10" t="s">
        <v>31</v>
      </c>
      <c r="Q89" s="11">
        <f>B89*N89/100</f>
        <v>115201.69375000001</v>
      </c>
    </row>
    <row r="90" spans="1:18">
      <c r="C90" s="1"/>
      <c r="D90" s="1"/>
      <c r="E90" s="1"/>
      <c r="F90" s="1"/>
      <c r="G90" s="1"/>
      <c r="H90" s="1"/>
      <c r="I90" s="1"/>
      <c r="J90" s="1"/>
      <c r="K90" s="1"/>
      <c r="L90" s="1"/>
      <c r="N90" s="10"/>
      <c r="O90" s="5"/>
      <c r="P90" s="39"/>
      <c r="Q90" s="10"/>
      <c r="R90" s="5"/>
    </row>
    <row r="91" spans="1:18">
      <c r="A91" s="7" t="s">
        <v>317</v>
      </c>
      <c r="B91" s="76" t="s">
        <v>314</v>
      </c>
      <c r="C91" s="1"/>
      <c r="D91" s="1"/>
      <c r="E91" s="1"/>
      <c r="F91" s="1"/>
      <c r="G91" s="1"/>
      <c r="H91" s="1"/>
      <c r="I91" s="1"/>
      <c r="J91" s="1"/>
      <c r="K91" s="1"/>
      <c r="L91" s="1"/>
      <c r="N91" s="10"/>
      <c r="O91" s="5"/>
      <c r="P91" s="39"/>
      <c r="Q91" s="10"/>
      <c r="R91" s="5"/>
    </row>
    <row r="92" spans="1:18">
      <c r="C92" s="1">
        <f>C86</f>
        <v>2</v>
      </c>
      <c r="D92" s="1" t="s">
        <v>4</v>
      </c>
      <c r="E92" s="1">
        <v>0.78500000000000003</v>
      </c>
      <c r="F92" s="1" t="s">
        <v>4</v>
      </c>
      <c r="G92" s="1">
        <f>G86</f>
        <v>20</v>
      </c>
      <c r="H92" s="1" t="s">
        <v>4</v>
      </c>
      <c r="I92" s="1">
        <f>G92</f>
        <v>20</v>
      </c>
      <c r="J92" s="1" t="s">
        <v>4</v>
      </c>
      <c r="K92" s="1">
        <f>K86</f>
        <v>1.5</v>
      </c>
      <c r="L92" s="1"/>
      <c r="M92" t="s">
        <v>5</v>
      </c>
      <c r="N92" s="49">
        <f>K92*I92*G92*E92*C92</f>
        <v>942</v>
      </c>
      <c r="O92" s="5" t="s">
        <v>37</v>
      </c>
      <c r="P92" s="39"/>
      <c r="Q92" s="10"/>
      <c r="R92" s="5"/>
    </row>
    <row r="93" spans="1:18">
      <c r="B93" s="84" t="s">
        <v>26</v>
      </c>
      <c r="C93" s="1">
        <v>1</v>
      </c>
      <c r="D93" s="1" t="s">
        <v>4</v>
      </c>
      <c r="E93" s="1">
        <v>0.78500000000000003</v>
      </c>
      <c r="F93" s="1" t="s">
        <v>4</v>
      </c>
      <c r="G93" s="1">
        <f>G87</f>
        <v>10</v>
      </c>
      <c r="H93" s="1" t="s">
        <v>4</v>
      </c>
      <c r="I93" s="1">
        <f>G93</f>
        <v>10</v>
      </c>
      <c r="J93" s="1" t="s">
        <v>4</v>
      </c>
      <c r="K93" s="1">
        <f>K87</f>
        <v>1</v>
      </c>
      <c r="L93" s="1"/>
      <c r="M93" t="s">
        <v>5</v>
      </c>
      <c r="N93" s="77">
        <f>K93*I93*G93*E93*C93</f>
        <v>78.5</v>
      </c>
      <c r="O93" s="5" t="s">
        <v>37</v>
      </c>
      <c r="P93" s="39"/>
      <c r="Q93" s="10"/>
      <c r="R93" s="5"/>
    </row>
    <row r="94" spans="1:18">
      <c r="C94" s="1"/>
      <c r="D94" s="1"/>
      <c r="E94" s="1"/>
      <c r="F94" s="1"/>
      <c r="G94" s="1"/>
      <c r="H94" s="1"/>
      <c r="I94" s="1"/>
      <c r="J94" s="1"/>
      <c r="K94" s="1"/>
      <c r="L94" s="1"/>
      <c r="N94" s="78">
        <f>SUM(N92:N93)</f>
        <v>1020.5</v>
      </c>
      <c r="O94" s="5" t="s">
        <v>37</v>
      </c>
      <c r="P94" s="39"/>
      <c r="Q94" s="10"/>
      <c r="R94" s="5"/>
    </row>
    <row r="95" spans="1:18">
      <c r="C95" s="174"/>
      <c r="D95" s="174"/>
      <c r="E95" s="174"/>
      <c r="F95" s="174"/>
      <c r="G95" s="174"/>
      <c r="H95" s="174"/>
      <c r="I95" s="174"/>
      <c r="J95" s="174"/>
      <c r="K95" s="174"/>
      <c r="L95" s="174"/>
      <c r="N95" s="78"/>
      <c r="O95" s="5"/>
      <c r="P95" s="39"/>
      <c r="Q95" s="175"/>
      <c r="R95" s="5"/>
    </row>
    <row r="96" spans="1:18">
      <c r="B96" s="84">
        <f>N94</f>
        <v>1020.5</v>
      </c>
      <c r="C96" s="1" t="str">
        <f>O94</f>
        <v>Cft.</v>
      </c>
      <c r="D96" s="1"/>
      <c r="E96" s="1"/>
      <c r="F96" s="1"/>
      <c r="G96" s="1"/>
      <c r="H96" s="1"/>
      <c r="I96" s="1"/>
      <c r="J96" s="1"/>
      <c r="K96" s="1"/>
      <c r="L96" s="1"/>
      <c r="M96" s="49" t="str">
        <f>M89</f>
        <v xml:space="preserve"> @Rs:</v>
      </c>
      <c r="N96" s="18">
        <v>12595</v>
      </c>
      <c r="O96" s="39" t="str">
        <f>O89</f>
        <v>P% Cft</v>
      </c>
      <c r="P96" s="10" t="s">
        <v>31</v>
      </c>
      <c r="Q96" s="11">
        <f>B96*N96/100</f>
        <v>128531.97500000001</v>
      </c>
    </row>
    <row r="97" spans="1:18">
      <c r="A97" s="7" t="s">
        <v>318</v>
      </c>
      <c r="B97" s="76" t="s">
        <v>315</v>
      </c>
      <c r="C97" s="1"/>
      <c r="D97" s="1"/>
      <c r="E97" s="1"/>
      <c r="F97" s="1"/>
      <c r="G97" s="1"/>
      <c r="H97" s="1"/>
      <c r="I97" s="1"/>
      <c r="J97" s="1"/>
      <c r="K97" s="1"/>
      <c r="L97" s="1"/>
      <c r="N97" s="10"/>
      <c r="O97" s="5"/>
      <c r="P97" s="39"/>
      <c r="Q97" s="10"/>
      <c r="R97" s="5"/>
    </row>
    <row r="98" spans="1:18">
      <c r="C98" s="1">
        <f>C92</f>
        <v>2</v>
      </c>
      <c r="D98" s="1" t="s">
        <v>4</v>
      </c>
      <c r="E98" s="1">
        <v>0.78500000000000003</v>
      </c>
      <c r="F98" s="1" t="s">
        <v>4</v>
      </c>
      <c r="G98" s="1">
        <f>G92</f>
        <v>20</v>
      </c>
      <c r="H98" s="1" t="s">
        <v>4</v>
      </c>
      <c r="I98" s="1">
        <f>G98</f>
        <v>20</v>
      </c>
      <c r="J98" s="1" t="s">
        <v>4</v>
      </c>
      <c r="K98" s="1">
        <f>K92</f>
        <v>1.5</v>
      </c>
      <c r="L98" s="1"/>
      <c r="M98" t="s">
        <v>5</v>
      </c>
      <c r="N98" s="49">
        <f>K98*I98*G98*E98*C98</f>
        <v>942</v>
      </c>
      <c r="O98" s="5" t="s">
        <v>37</v>
      </c>
      <c r="P98" s="39"/>
      <c r="Q98" s="10"/>
      <c r="R98" s="5"/>
    </row>
    <row r="99" spans="1:18">
      <c r="C99" s="1">
        <v>1</v>
      </c>
      <c r="D99" s="1" t="s">
        <v>4</v>
      </c>
      <c r="E99" s="1">
        <v>0.78500000000000003</v>
      </c>
      <c r="F99" s="1" t="s">
        <v>4</v>
      </c>
      <c r="G99" s="1">
        <f>G93</f>
        <v>10</v>
      </c>
      <c r="H99" s="1" t="s">
        <v>4</v>
      </c>
      <c r="I99" s="1">
        <f>G99</f>
        <v>10</v>
      </c>
      <c r="J99" s="1" t="s">
        <v>4</v>
      </c>
      <c r="K99" s="1">
        <f>K93</f>
        <v>1</v>
      </c>
      <c r="L99" s="1"/>
      <c r="M99" t="s">
        <v>5</v>
      </c>
      <c r="N99" s="77">
        <f>K99*I99*G99*E99*C99</f>
        <v>78.5</v>
      </c>
      <c r="O99" s="5" t="s">
        <v>37</v>
      </c>
      <c r="P99" s="39"/>
      <c r="Q99" s="10"/>
      <c r="R99" s="5"/>
    </row>
    <row r="100" spans="1:18">
      <c r="C100" s="1"/>
      <c r="D100" s="1"/>
      <c r="E100" s="1"/>
      <c r="F100" s="1"/>
      <c r="G100" s="1"/>
      <c r="H100" s="1"/>
      <c r="I100" s="1"/>
      <c r="J100" s="1"/>
      <c r="K100" s="1"/>
      <c r="L100" s="1"/>
      <c r="N100" s="78">
        <f>SUM(N98:N99)</f>
        <v>1020.5</v>
      </c>
      <c r="O100" s="81" t="s">
        <v>37</v>
      </c>
      <c r="P100" s="39"/>
      <c r="Q100" s="10"/>
      <c r="R100" s="5"/>
    </row>
    <row r="101" spans="1:18">
      <c r="C101" s="174"/>
      <c r="D101" s="174"/>
      <c r="E101" s="174"/>
      <c r="F101" s="174"/>
      <c r="G101" s="174"/>
      <c r="H101" s="174"/>
      <c r="I101" s="174"/>
      <c r="J101" s="174"/>
      <c r="K101" s="174"/>
      <c r="L101" s="174"/>
      <c r="N101" s="78"/>
      <c r="O101" s="81"/>
      <c r="P101" s="39"/>
      <c r="Q101" s="175"/>
      <c r="R101" s="5"/>
    </row>
    <row r="102" spans="1:18">
      <c r="B102" s="84">
        <f>N100</f>
        <v>1020.5</v>
      </c>
      <c r="C102" s="1" t="str">
        <f>O100</f>
        <v>Cft.</v>
      </c>
      <c r="D102" s="1"/>
      <c r="E102" s="1"/>
      <c r="F102" s="1"/>
      <c r="G102" s="1"/>
      <c r="H102" s="1"/>
      <c r="I102" s="1"/>
      <c r="J102" s="1"/>
      <c r="K102" s="1"/>
      <c r="L102" s="1"/>
      <c r="M102" s="49" t="str">
        <f>M96</f>
        <v xml:space="preserve"> @Rs:</v>
      </c>
      <c r="N102" s="18">
        <v>14429.25</v>
      </c>
      <c r="O102" s="39" t="str">
        <f>O96</f>
        <v>P% Cft</v>
      </c>
      <c r="P102" s="10" t="s">
        <v>31</v>
      </c>
      <c r="Q102" s="11">
        <f>B102*N102/100</f>
        <v>147250.49625</v>
      </c>
    </row>
    <row r="103" spans="1:18">
      <c r="C103" s="1"/>
      <c r="D103" s="1"/>
      <c r="E103" s="1"/>
      <c r="F103" s="1"/>
      <c r="G103" s="1"/>
      <c r="H103" s="1"/>
      <c r="I103" s="1"/>
      <c r="J103" s="1"/>
      <c r="K103" s="1"/>
      <c r="L103" s="1"/>
      <c r="N103" s="10"/>
      <c r="O103" s="5"/>
      <c r="P103" s="39"/>
      <c r="Q103" s="10"/>
      <c r="R103" s="5"/>
    </row>
    <row r="104" spans="1:18" ht="15.75">
      <c r="A104">
        <v>7</v>
      </c>
      <c r="B104" s="41" t="s">
        <v>89</v>
      </c>
      <c r="C104" s="1"/>
      <c r="D104" s="1"/>
      <c r="E104" s="1"/>
      <c r="F104" s="1"/>
      <c r="G104" s="1"/>
      <c r="H104" s="1"/>
      <c r="I104" s="1"/>
      <c r="J104" s="1"/>
      <c r="K104" s="1"/>
      <c r="L104" s="1"/>
      <c r="N104" s="10"/>
      <c r="O104" s="5"/>
      <c r="P104" s="39"/>
      <c r="Q104" s="10"/>
      <c r="R104" s="5"/>
    </row>
    <row r="105" spans="1:18" ht="15.75">
      <c r="B105" s="41" t="s">
        <v>205</v>
      </c>
      <c r="C105" s="1"/>
      <c r="D105" s="1"/>
      <c r="E105" s="1"/>
      <c r="F105" s="1"/>
      <c r="G105" s="1"/>
      <c r="H105" s="1"/>
      <c r="I105" s="1"/>
      <c r="J105" s="1"/>
      <c r="K105" s="1"/>
      <c r="L105" s="1"/>
      <c r="N105" s="10"/>
      <c r="O105" s="5"/>
      <c r="P105" s="39"/>
      <c r="Q105" s="10"/>
      <c r="R105" s="5"/>
    </row>
    <row r="106" spans="1:18">
      <c r="B106" t="s">
        <v>90</v>
      </c>
      <c r="C106" s="1">
        <f>C98</f>
        <v>2</v>
      </c>
      <c r="D106" s="1" t="s">
        <v>4</v>
      </c>
      <c r="E106" s="1">
        <v>0.78500000000000003</v>
      </c>
      <c r="F106" s="1" t="s">
        <v>4</v>
      </c>
      <c r="G106" s="1">
        <f>S2</f>
        <v>20</v>
      </c>
      <c r="H106" s="1" t="s">
        <v>4</v>
      </c>
      <c r="I106" s="1">
        <f>G106</f>
        <v>20</v>
      </c>
      <c r="J106" s="1" t="s">
        <v>4</v>
      </c>
      <c r="K106" s="1">
        <v>16</v>
      </c>
      <c r="L106" s="1"/>
      <c r="M106" t="s">
        <v>5</v>
      </c>
      <c r="N106" s="49">
        <f>K106*I106*G106*E106*C106</f>
        <v>10048</v>
      </c>
      <c r="O106" s="5" t="s">
        <v>37</v>
      </c>
      <c r="P106" s="39"/>
      <c r="Q106" s="10"/>
      <c r="R106" s="5"/>
    </row>
    <row r="107" spans="1:18">
      <c r="C107" s="1">
        <v>1</v>
      </c>
      <c r="D107" s="1" t="s">
        <v>4</v>
      </c>
      <c r="E107" s="1">
        <v>0.78500000000000003</v>
      </c>
      <c r="F107" s="1" t="s">
        <v>4</v>
      </c>
      <c r="G107" s="1">
        <f>S3</f>
        <v>10</v>
      </c>
      <c r="H107" s="1" t="s">
        <v>4</v>
      </c>
      <c r="I107" s="1">
        <f>G107</f>
        <v>10</v>
      </c>
      <c r="J107" s="1" t="s">
        <v>4</v>
      </c>
      <c r="K107" s="1">
        <v>9</v>
      </c>
      <c r="L107" s="1"/>
      <c r="M107" t="s">
        <v>5</v>
      </c>
      <c r="N107" s="49">
        <f>K107*I107*G107*E107*C107</f>
        <v>706.5</v>
      </c>
      <c r="O107" s="5" t="s">
        <v>37</v>
      </c>
      <c r="P107" s="39"/>
      <c r="Q107" s="10"/>
      <c r="R107" s="5"/>
    </row>
    <row r="108" spans="1:18">
      <c r="B108" t="s">
        <v>91</v>
      </c>
      <c r="C108" s="1">
        <f>C106</f>
        <v>2</v>
      </c>
      <c r="D108" s="1" t="s">
        <v>4</v>
      </c>
      <c r="E108" s="1">
        <v>0.78500000000000003</v>
      </c>
      <c r="F108" s="1" t="s">
        <v>4</v>
      </c>
      <c r="G108" s="1">
        <f>G106</f>
        <v>20</v>
      </c>
      <c r="H108" s="1" t="s">
        <v>4</v>
      </c>
      <c r="I108" s="1">
        <f>G108</f>
        <v>20</v>
      </c>
      <c r="J108" s="1" t="s">
        <v>4</v>
      </c>
      <c r="K108" s="1">
        <f>K106-4</f>
        <v>12</v>
      </c>
      <c r="L108" s="1"/>
      <c r="M108" t="s">
        <v>5</v>
      </c>
      <c r="N108" s="49">
        <f>K108*I108*G108*E108*C108</f>
        <v>7536</v>
      </c>
      <c r="O108" s="5" t="s">
        <v>37</v>
      </c>
      <c r="P108" s="39"/>
      <c r="Q108" s="10"/>
      <c r="R108" s="5"/>
    </row>
    <row r="109" spans="1:18">
      <c r="C109" s="1">
        <v>1</v>
      </c>
      <c r="D109" s="1" t="s">
        <v>4</v>
      </c>
      <c r="E109" s="1">
        <v>0.78500000000000003</v>
      </c>
      <c r="F109" s="1" t="s">
        <v>4</v>
      </c>
      <c r="G109" s="1">
        <f>G107</f>
        <v>10</v>
      </c>
      <c r="H109" s="1" t="s">
        <v>4</v>
      </c>
      <c r="I109" s="1">
        <f>G109</f>
        <v>10</v>
      </c>
      <c r="J109" s="1" t="s">
        <v>4</v>
      </c>
      <c r="K109" s="1">
        <f>K107-3</f>
        <v>6</v>
      </c>
      <c r="L109" s="1"/>
      <c r="M109" t="s">
        <v>5</v>
      </c>
      <c r="N109" s="77">
        <f>K109*I109*G109*E109*C109</f>
        <v>471</v>
      </c>
      <c r="O109" s="5" t="s">
        <v>37</v>
      </c>
      <c r="P109" s="39"/>
      <c r="Q109" s="10"/>
      <c r="R109" s="5"/>
    </row>
    <row r="110" spans="1:18">
      <c r="C110" s="1"/>
      <c r="D110" s="1"/>
      <c r="E110" s="1"/>
      <c r="F110" s="1"/>
      <c r="G110" s="1"/>
      <c r="H110" s="1"/>
      <c r="I110" s="1"/>
      <c r="J110" s="1"/>
      <c r="K110" s="1"/>
      <c r="L110" s="1"/>
      <c r="N110" s="78">
        <f>N109+N108+N107+N106</f>
        <v>18761.5</v>
      </c>
      <c r="O110" s="81" t="s">
        <v>37</v>
      </c>
      <c r="P110" s="39"/>
      <c r="Q110" s="10"/>
      <c r="R110" s="5"/>
    </row>
    <row r="111" spans="1:18">
      <c r="C111" s="174"/>
      <c r="D111" s="174"/>
      <c r="E111" s="174"/>
      <c r="F111" s="174"/>
      <c r="G111" s="174"/>
      <c r="H111" s="174"/>
      <c r="I111" s="174"/>
      <c r="J111" s="174"/>
      <c r="K111" s="174"/>
      <c r="L111" s="174"/>
      <c r="N111" s="78"/>
      <c r="O111" s="81"/>
      <c r="P111" s="39"/>
      <c r="Q111" s="175"/>
      <c r="R111" s="5"/>
    </row>
    <row r="112" spans="1:18">
      <c r="B112" s="84">
        <f>N110</f>
        <v>18761.5</v>
      </c>
      <c r="C112" s="1" t="str">
        <f>O110</f>
        <v>Cft.</v>
      </c>
      <c r="D112" s="1"/>
      <c r="E112" s="1"/>
      <c r="F112" s="1"/>
      <c r="G112" s="1"/>
      <c r="H112" s="1"/>
      <c r="I112" s="1"/>
      <c r="J112" s="1"/>
      <c r="K112" s="1"/>
      <c r="L112" s="1"/>
      <c r="M112" s="62" t="s">
        <v>32</v>
      </c>
      <c r="N112" s="5">
        <v>543</v>
      </c>
      <c r="O112" s="39" t="s">
        <v>14</v>
      </c>
      <c r="P112" s="10" t="s">
        <v>31</v>
      </c>
      <c r="Q112" s="11">
        <f>N112*B112/100</f>
        <v>101874.94500000001</v>
      </c>
    </row>
    <row r="113" spans="1:18">
      <c r="B113" s="84"/>
      <c r="C113" s="1"/>
      <c r="D113" s="1"/>
      <c r="E113" s="1"/>
      <c r="F113" s="1"/>
      <c r="G113" s="1"/>
      <c r="H113" s="1"/>
      <c r="I113" s="1"/>
      <c r="J113" s="1"/>
      <c r="K113" s="1"/>
      <c r="L113" s="1"/>
      <c r="N113" s="49"/>
      <c r="O113" s="5"/>
      <c r="P113" s="39"/>
      <c r="Q113" s="10"/>
      <c r="R113" s="11"/>
    </row>
    <row r="114" spans="1:18" ht="15.75">
      <c r="A114">
        <v>8</v>
      </c>
      <c r="B114" s="41" t="s">
        <v>92</v>
      </c>
      <c r="C114" s="1"/>
      <c r="D114" s="1"/>
      <c r="E114" s="1"/>
      <c r="F114" s="1"/>
      <c r="G114" s="1"/>
      <c r="H114" s="1"/>
      <c r="I114" s="1"/>
      <c r="J114" s="1"/>
      <c r="K114" s="1"/>
      <c r="L114" s="1"/>
      <c r="N114" s="49"/>
      <c r="O114" s="5"/>
      <c r="P114" s="39"/>
      <c r="Q114" s="10"/>
      <c r="R114" s="5"/>
    </row>
    <row r="115" spans="1:18" ht="15.75">
      <c r="B115" s="41" t="s">
        <v>93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  <c r="N115" s="49"/>
      <c r="O115" s="5"/>
      <c r="P115" s="39"/>
      <c r="Q115" s="10"/>
      <c r="R115" s="5"/>
    </row>
    <row r="116" spans="1:18" ht="15.75">
      <c r="B116" s="41" t="s">
        <v>206</v>
      </c>
      <c r="C116" s="1"/>
      <c r="D116" s="1"/>
      <c r="E116" s="1"/>
      <c r="F116" s="1"/>
      <c r="G116" s="1"/>
      <c r="H116" s="1"/>
      <c r="I116" s="1"/>
      <c r="J116" s="1"/>
      <c r="K116" s="1"/>
      <c r="L116" s="1"/>
      <c r="N116" s="49"/>
      <c r="O116" s="5"/>
      <c r="P116" s="39"/>
      <c r="Q116" s="10"/>
      <c r="R116" s="5"/>
    </row>
    <row r="117" spans="1:18">
      <c r="C117">
        <f>C106</f>
        <v>2</v>
      </c>
      <c r="D117" s="7" t="s">
        <v>4</v>
      </c>
      <c r="E117" s="1">
        <v>3</v>
      </c>
      <c r="F117" s="1" t="s">
        <v>4</v>
      </c>
      <c r="G117" s="1">
        <v>3.14</v>
      </c>
      <c r="H117" s="1" t="s">
        <v>4</v>
      </c>
      <c r="I117" s="1">
        <f>G25</f>
        <v>21</v>
      </c>
      <c r="J117" s="1" t="s">
        <v>26</v>
      </c>
      <c r="K117" s="1" t="s">
        <v>26</v>
      </c>
      <c r="L117" s="1" t="s">
        <v>26</v>
      </c>
      <c r="M117" t="s">
        <v>5</v>
      </c>
      <c r="N117" s="49">
        <f>I117*G117*E117*C117</f>
        <v>395.64</v>
      </c>
      <c r="O117" s="5" t="s">
        <v>87</v>
      </c>
      <c r="P117" s="39"/>
      <c r="Q117" s="10"/>
      <c r="R117" s="5"/>
    </row>
    <row r="118" spans="1:18">
      <c r="C118">
        <f>C107</f>
        <v>1</v>
      </c>
      <c r="D118" s="7" t="s">
        <v>4</v>
      </c>
      <c r="E118" s="1">
        <v>2</v>
      </c>
      <c r="F118" s="1" t="s">
        <v>4</v>
      </c>
      <c r="G118" s="1">
        <v>3.14</v>
      </c>
      <c r="H118" s="1" t="s">
        <v>4</v>
      </c>
      <c r="I118" s="1">
        <f>G26</f>
        <v>11</v>
      </c>
      <c r="J118" s="1"/>
      <c r="K118" s="1"/>
      <c r="L118" s="1"/>
      <c r="M118" t="s">
        <v>5</v>
      </c>
      <c r="N118" s="49">
        <f>I118*G118*E118*C118</f>
        <v>69.08</v>
      </c>
      <c r="O118" s="5" t="s">
        <v>87</v>
      </c>
      <c r="P118" s="39"/>
      <c r="Q118" s="10"/>
      <c r="R118" s="5"/>
    </row>
    <row r="119" spans="1:18">
      <c r="E119" s="1"/>
      <c r="F119" s="1"/>
      <c r="G119" s="1"/>
      <c r="H119" s="1"/>
      <c r="I119" s="1"/>
      <c r="J119" s="1"/>
      <c r="K119" s="1"/>
      <c r="L119" s="1"/>
      <c r="N119" s="78">
        <f>N118+N117</f>
        <v>464.71999999999997</v>
      </c>
      <c r="O119" s="5" t="s">
        <v>87</v>
      </c>
      <c r="P119" s="39"/>
      <c r="Q119" s="10"/>
      <c r="R119" s="5"/>
    </row>
    <row r="120" spans="1:18">
      <c r="B120" s="84">
        <f>N119</f>
        <v>464.71999999999997</v>
      </c>
      <c r="C120" s="1" t="str">
        <f>O119</f>
        <v>Rft.</v>
      </c>
      <c r="D120" s="1"/>
      <c r="E120" s="1"/>
      <c r="F120" s="1"/>
      <c r="G120" s="1"/>
      <c r="H120" s="1"/>
      <c r="I120" s="1"/>
      <c r="J120" s="1"/>
      <c r="K120" s="1"/>
      <c r="L120" s="1"/>
      <c r="M120" s="49" t="str">
        <f>M112</f>
        <v xml:space="preserve"> @Rs:</v>
      </c>
      <c r="N120" s="18">
        <v>86</v>
      </c>
      <c r="O120" s="39" t="s">
        <v>88</v>
      </c>
      <c r="P120" s="10" t="s">
        <v>31</v>
      </c>
      <c r="Q120" s="11">
        <f>N120*B120</f>
        <v>39965.919999999998</v>
      </c>
    </row>
    <row r="121" spans="1:18">
      <c r="C121" s="1"/>
      <c r="D121" s="1"/>
      <c r="E121" s="1"/>
      <c r="F121" s="1"/>
      <c r="G121" s="1"/>
      <c r="H121" s="1"/>
      <c r="I121" s="1"/>
      <c r="J121" s="1"/>
      <c r="K121" s="1"/>
      <c r="L121" s="1"/>
      <c r="N121" s="49"/>
      <c r="O121" s="5"/>
      <c r="P121" s="39"/>
      <c r="Q121" s="10"/>
      <c r="R121" s="5"/>
    </row>
    <row r="122" spans="1:18" ht="15.75">
      <c r="A122">
        <v>9</v>
      </c>
      <c r="B122" s="41" t="s">
        <v>94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  <c r="N122" s="10"/>
      <c r="O122" s="5"/>
      <c r="P122" s="39"/>
      <c r="Q122" s="10"/>
      <c r="R122" s="5"/>
    </row>
    <row r="123" spans="1:18" ht="15.75">
      <c r="B123" s="41" t="s">
        <v>95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N123" s="10"/>
      <c r="O123" s="5"/>
      <c r="P123" s="39"/>
      <c r="Q123" s="10"/>
      <c r="R123" s="5"/>
    </row>
    <row r="124" spans="1:18" ht="15.75">
      <c r="B124" s="41" t="s">
        <v>207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N124" s="10"/>
      <c r="O124" s="5"/>
      <c r="P124" s="39"/>
      <c r="Q124" s="10"/>
      <c r="R124" s="5"/>
    </row>
    <row r="125" spans="1:18">
      <c r="B125" s="170" t="s">
        <v>96</v>
      </c>
      <c r="C125" s="1">
        <v>1</v>
      </c>
      <c r="D125" s="1" t="s">
        <v>4</v>
      </c>
      <c r="E125" s="1">
        <v>3.5</v>
      </c>
      <c r="F125" s="1"/>
      <c r="G125" s="1"/>
      <c r="H125" s="1"/>
      <c r="I125" s="1"/>
      <c r="J125" s="1"/>
      <c r="K125" s="1"/>
      <c r="L125" s="1"/>
      <c r="M125" t="s">
        <v>5</v>
      </c>
      <c r="N125" s="79">
        <f>E125*C125</f>
        <v>3.5</v>
      </c>
      <c r="O125" s="5" t="s">
        <v>11</v>
      </c>
      <c r="P125" s="39"/>
      <c r="Q125" s="10"/>
      <c r="R125" s="5"/>
    </row>
    <row r="126" spans="1:18">
      <c r="C126" s="1"/>
      <c r="D126" s="1"/>
      <c r="E126" s="1"/>
      <c r="F126" s="1"/>
      <c r="G126" s="1"/>
      <c r="H126" s="1"/>
      <c r="I126" s="1"/>
      <c r="J126" s="1"/>
      <c r="K126" s="1"/>
      <c r="L126" s="1"/>
      <c r="N126" s="80">
        <f>N125</f>
        <v>3.5</v>
      </c>
      <c r="O126" s="5" t="s">
        <v>11</v>
      </c>
      <c r="P126" s="39"/>
      <c r="Q126" s="10"/>
      <c r="R126" s="5"/>
    </row>
    <row r="127" spans="1:18">
      <c r="B127" s="3">
        <f>N126</f>
        <v>3.5</v>
      </c>
      <c r="C127" s="1" t="str">
        <f>O126</f>
        <v>Cwt</v>
      </c>
      <c r="D127" s="1"/>
      <c r="E127" s="1"/>
      <c r="F127" s="1"/>
      <c r="G127" s="1"/>
      <c r="H127" s="1"/>
      <c r="I127" s="1"/>
      <c r="J127" s="1"/>
      <c r="K127" s="1"/>
      <c r="L127" s="1"/>
      <c r="M127" s="49" t="str">
        <f>M120</f>
        <v xml:space="preserve"> @Rs:</v>
      </c>
      <c r="N127" s="5">
        <v>4928.49</v>
      </c>
      <c r="O127" s="39" t="s">
        <v>76</v>
      </c>
      <c r="P127" s="10" t="s">
        <v>31</v>
      </c>
      <c r="Q127" s="11">
        <f>N127*B127</f>
        <v>17249.715</v>
      </c>
    </row>
    <row r="128" spans="1:18">
      <c r="C128" s="1"/>
      <c r="D128" s="1"/>
      <c r="E128" s="1"/>
      <c r="F128" s="1"/>
      <c r="G128" s="1"/>
      <c r="H128" s="1"/>
      <c r="I128" s="1"/>
      <c r="J128" s="1"/>
      <c r="K128" s="1"/>
      <c r="L128" s="1"/>
      <c r="N128" s="10"/>
      <c r="O128" s="5"/>
      <c r="P128" s="39"/>
      <c r="Q128" s="10"/>
      <c r="R128" s="5"/>
    </row>
    <row r="129" spans="1:18" ht="15.75">
      <c r="A129">
        <v>10</v>
      </c>
      <c r="B129" s="8" t="s">
        <v>97</v>
      </c>
      <c r="C129" s="1"/>
      <c r="D129" s="1"/>
      <c r="E129" s="1"/>
      <c r="F129" s="1"/>
      <c r="G129" s="1"/>
      <c r="H129" s="1"/>
      <c r="I129" s="1"/>
      <c r="J129" s="1"/>
      <c r="K129" s="1"/>
      <c r="L129" s="1"/>
      <c r="N129" s="10"/>
      <c r="O129" s="5"/>
      <c r="P129" s="39"/>
      <c r="Q129" s="10"/>
      <c r="R129" s="5"/>
    </row>
    <row r="130" spans="1:18" ht="15.75">
      <c r="B130" s="8" t="s">
        <v>208</v>
      </c>
      <c r="C130" s="1"/>
      <c r="D130" s="1"/>
      <c r="E130" s="1"/>
      <c r="F130" s="1"/>
      <c r="G130" s="1"/>
      <c r="H130" s="1"/>
      <c r="I130" s="1"/>
      <c r="J130" s="1"/>
      <c r="K130" s="1"/>
      <c r="L130" s="1"/>
      <c r="N130" s="10"/>
      <c r="O130" s="5"/>
      <c r="P130" s="39"/>
      <c r="Q130" s="10"/>
      <c r="R130" s="5"/>
    </row>
    <row r="131" spans="1:18" ht="15.75">
      <c r="B131" s="8"/>
      <c r="C131" s="174"/>
      <c r="D131" s="174"/>
      <c r="E131" s="174"/>
      <c r="F131" s="174"/>
      <c r="G131" s="174"/>
      <c r="H131" s="174"/>
      <c r="I131" s="174"/>
      <c r="J131" s="174"/>
      <c r="K131" s="174"/>
      <c r="L131" s="174"/>
      <c r="N131" s="175"/>
      <c r="O131" s="5"/>
      <c r="P131" s="39"/>
      <c r="Q131" s="175"/>
      <c r="R131" s="5"/>
    </row>
    <row r="132" spans="1:18">
      <c r="B132" s="3">
        <f>B127</f>
        <v>3.5</v>
      </c>
      <c r="C132" s="1" t="str">
        <f>C127</f>
        <v>Cwt</v>
      </c>
      <c r="D132" s="1"/>
      <c r="E132" s="1"/>
      <c r="F132" s="1"/>
      <c r="G132" s="1"/>
      <c r="H132" s="1"/>
      <c r="I132" s="1"/>
      <c r="J132" s="1"/>
      <c r="K132" s="1"/>
      <c r="L132" s="1"/>
      <c r="M132" s="49" t="str">
        <f>M127</f>
        <v xml:space="preserve"> @Rs:</v>
      </c>
      <c r="N132" s="5">
        <v>271.04000000000002</v>
      </c>
      <c r="O132" s="39" t="s">
        <v>76</v>
      </c>
      <c r="P132" s="10" t="s">
        <v>31</v>
      </c>
      <c r="Q132" s="11">
        <f>N132*B132</f>
        <v>948.6400000000001</v>
      </c>
    </row>
    <row r="133" spans="1:18" ht="15.75">
      <c r="A133">
        <v>11</v>
      </c>
      <c r="B133" s="8" t="s">
        <v>98</v>
      </c>
      <c r="C133" s="1"/>
      <c r="D133" s="1"/>
      <c r="E133" s="1"/>
      <c r="F133" s="1"/>
      <c r="G133" s="1"/>
      <c r="H133" s="1"/>
      <c r="I133" s="1"/>
      <c r="J133" s="1"/>
      <c r="K133" s="1"/>
      <c r="L133" s="1"/>
      <c r="N133" s="10"/>
      <c r="O133" s="5"/>
      <c r="P133" s="39"/>
      <c r="Q133" s="10"/>
      <c r="R133" s="5"/>
    </row>
    <row r="134" spans="1:18" ht="15.75">
      <c r="B134" s="8" t="s">
        <v>99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  <c r="N134" s="10"/>
      <c r="O134" s="5"/>
      <c r="P134" s="39"/>
      <c r="Q134" s="10"/>
      <c r="R134" s="5"/>
    </row>
    <row r="135" spans="1:18" ht="15.75">
      <c r="B135" s="8" t="s">
        <v>100</v>
      </c>
      <c r="C135" s="1"/>
      <c r="D135" s="1"/>
      <c r="E135" s="1"/>
      <c r="F135" s="1"/>
      <c r="G135" s="1"/>
      <c r="H135" s="1"/>
      <c r="I135" s="1"/>
      <c r="J135" s="1"/>
      <c r="K135" s="1"/>
      <c r="L135" s="1"/>
      <c r="N135" s="10"/>
      <c r="O135" s="5"/>
      <c r="P135" s="39"/>
      <c r="Q135" s="10"/>
      <c r="R135" s="5"/>
    </row>
    <row r="136" spans="1:18" ht="15.75">
      <c r="B136" s="8" t="s">
        <v>101</v>
      </c>
      <c r="C136" s="1"/>
      <c r="D136" s="1"/>
      <c r="E136" s="1"/>
      <c r="F136" s="1"/>
      <c r="G136" s="1"/>
      <c r="H136" s="1"/>
      <c r="I136" s="1"/>
      <c r="J136" s="1"/>
      <c r="K136" s="1"/>
      <c r="L136" s="1"/>
      <c r="N136" s="10"/>
      <c r="O136" s="5"/>
      <c r="P136" s="39"/>
      <c r="Q136" s="10"/>
      <c r="R136" s="5"/>
    </row>
    <row r="137" spans="1:18" ht="15.75">
      <c r="B137" s="8" t="s">
        <v>102</v>
      </c>
      <c r="C137" s="1"/>
      <c r="D137" s="1"/>
      <c r="E137" s="1"/>
      <c r="F137" s="1"/>
      <c r="G137" s="1"/>
      <c r="H137" s="1"/>
      <c r="I137" s="1"/>
      <c r="J137" s="1"/>
      <c r="K137" s="1"/>
      <c r="L137" s="1"/>
      <c r="N137" s="10"/>
      <c r="O137" s="5"/>
      <c r="P137" s="39"/>
      <c r="Q137" s="10"/>
      <c r="R137" s="5"/>
    </row>
    <row r="138" spans="1:18" ht="15.75">
      <c r="B138" s="8" t="s">
        <v>103</v>
      </c>
      <c r="C138" s="1"/>
      <c r="D138" s="1"/>
      <c r="E138" s="1"/>
      <c r="F138" s="1"/>
      <c r="G138" s="1"/>
      <c r="H138" s="1"/>
      <c r="I138" s="1"/>
      <c r="J138" s="1"/>
      <c r="K138" s="1"/>
      <c r="L138" s="1"/>
      <c r="N138" s="10"/>
      <c r="O138" s="5"/>
      <c r="P138" s="39"/>
      <c r="Q138" s="10"/>
      <c r="R138" s="5"/>
    </row>
    <row r="139" spans="1:18" ht="15.75">
      <c r="B139" s="8" t="s">
        <v>209</v>
      </c>
      <c r="C139" s="1"/>
      <c r="D139" s="1"/>
      <c r="E139" s="1"/>
      <c r="F139" s="1"/>
      <c r="G139" s="1"/>
      <c r="H139" s="1"/>
      <c r="I139" s="1"/>
      <c r="J139" s="1"/>
      <c r="K139" s="1"/>
      <c r="L139" s="1"/>
      <c r="N139" s="10"/>
      <c r="O139" s="5"/>
      <c r="P139" s="39"/>
      <c r="Q139" s="10"/>
      <c r="R139" s="5"/>
    </row>
    <row r="140" spans="1:18">
      <c r="B140" s="89" t="s">
        <v>104</v>
      </c>
      <c r="C140" s="1">
        <f>C5</f>
        <v>2</v>
      </c>
      <c r="D140" s="1" t="s">
        <v>4</v>
      </c>
      <c r="E140" s="1">
        <v>16</v>
      </c>
      <c r="F140" s="1" t="s">
        <v>4</v>
      </c>
      <c r="G140" s="1">
        <v>5</v>
      </c>
      <c r="H140" s="1" t="s">
        <v>4</v>
      </c>
      <c r="I140" s="1">
        <v>5</v>
      </c>
      <c r="J140" s="1" t="s">
        <v>26</v>
      </c>
      <c r="K140" s="1"/>
      <c r="L140" s="1"/>
      <c r="M140" t="s">
        <v>5</v>
      </c>
      <c r="N140" s="49">
        <f>I140*G140*E140*C140</f>
        <v>800</v>
      </c>
      <c r="O140" s="5" t="s">
        <v>37</v>
      </c>
      <c r="P140" s="39"/>
      <c r="Q140" s="10"/>
      <c r="R140" s="5"/>
    </row>
    <row r="141" spans="1:18">
      <c r="B141" s="89"/>
      <c r="C141" s="174"/>
      <c r="D141" s="174"/>
      <c r="E141" s="174"/>
      <c r="F141" s="174"/>
      <c r="G141" s="174"/>
      <c r="H141" s="174"/>
      <c r="I141" s="174"/>
      <c r="J141" s="174"/>
      <c r="K141" s="174"/>
      <c r="L141" s="174"/>
      <c r="N141" s="49"/>
      <c r="O141" s="5"/>
      <c r="P141" s="39"/>
      <c r="Q141" s="175"/>
      <c r="R141" s="5"/>
    </row>
    <row r="142" spans="1:18">
      <c r="B142" s="84">
        <f>N140</f>
        <v>800</v>
      </c>
      <c r="C142" s="1" t="str">
        <f>O140</f>
        <v>Cft.</v>
      </c>
      <c r="D142" s="1"/>
      <c r="E142" s="1"/>
      <c r="F142" s="1"/>
      <c r="G142" s="1"/>
      <c r="H142" s="1"/>
      <c r="I142" s="1"/>
      <c r="J142" s="1"/>
      <c r="K142" s="1"/>
      <c r="L142" s="1"/>
      <c r="M142" s="49" t="str">
        <f>M132</f>
        <v xml:space="preserve"> @Rs:</v>
      </c>
      <c r="N142" s="5">
        <v>3600</v>
      </c>
      <c r="O142" s="39" t="s">
        <v>105</v>
      </c>
      <c r="P142" s="10" t="s">
        <v>31</v>
      </c>
      <c r="Q142" s="11">
        <f>N142*B142/1000</f>
        <v>2880</v>
      </c>
    </row>
    <row r="143" spans="1:18" ht="15.75">
      <c r="A143">
        <v>12</v>
      </c>
      <c r="B143" s="8" t="s">
        <v>106</v>
      </c>
      <c r="C143" s="1"/>
      <c r="D143" s="1"/>
      <c r="E143" s="1"/>
      <c r="F143" s="1"/>
      <c r="G143" s="1"/>
      <c r="H143" s="1"/>
      <c r="I143" s="1"/>
      <c r="J143" s="1"/>
      <c r="K143" s="1"/>
      <c r="L143" s="1"/>
      <c r="N143" s="10"/>
      <c r="O143" s="5"/>
      <c r="P143" s="39"/>
      <c r="Q143" s="10"/>
      <c r="R143" s="5"/>
    </row>
    <row r="144" spans="1:18" ht="15.75">
      <c r="B144" s="8" t="s">
        <v>99</v>
      </c>
      <c r="C144" s="1"/>
      <c r="D144" s="1"/>
      <c r="E144" s="1"/>
      <c r="F144" s="1"/>
      <c r="G144" s="1"/>
      <c r="H144" s="1"/>
      <c r="I144" s="1"/>
      <c r="J144" s="1"/>
      <c r="K144" s="1"/>
      <c r="L144" s="1"/>
      <c r="N144" s="10"/>
      <c r="O144" s="5"/>
      <c r="P144" s="39"/>
      <c r="Q144" s="10"/>
      <c r="R144" s="5"/>
    </row>
    <row r="145" spans="1:18" ht="15.75">
      <c r="B145" s="8" t="s">
        <v>100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  <c r="N145" s="10"/>
      <c r="O145" s="5"/>
      <c r="P145" s="39"/>
      <c r="Q145" s="10"/>
      <c r="R145" s="5"/>
    </row>
    <row r="146" spans="1:18" ht="15.75">
      <c r="B146" s="8" t="s">
        <v>101</v>
      </c>
      <c r="C146" s="1"/>
      <c r="D146" s="1"/>
      <c r="E146" s="1"/>
      <c r="F146" s="1"/>
      <c r="G146" s="1"/>
      <c r="H146" s="1"/>
      <c r="I146" s="1"/>
      <c r="J146" s="1"/>
      <c r="K146" s="1"/>
      <c r="L146" s="1"/>
      <c r="N146" s="10"/>
      <c r="O146" s="5"/>
      <c r="P146" s="39"/>
      <c r="Q146" s="10"/>
      <c r="R146" s="5"/>
    </row>
    <row r="147" spans="1:18" ht="15.75">
      <c r="B147" s="8" t="s">
        <v>102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N147" s="10"/>
      <c r="O147" s="5"/>
      <c r="P147" s="39"/>
      <c r="Q147" s="10"/>
      <c r="R147" s="5"/>
    </row>
    <row r="148" spans="1:18" ht="15.75">
      <c r="B148" s="8" t="s">
        <v>103</v>
      </c>
      <c r="C148" s="1"/>
      <c r="D148" s="1"/>
      <c r="E148" s="1"/>
      <c r="F148" s="1"/>
      <c r="G148" s="1"/>
      <c r="H148" s="1"/>
      <c r="I148" s="1"/>
      <c r="J148" s="1"/>
      <c r="K148" s="1"/>
      <c r="L148" s="1"/>
      <c r="N148" s="10"/>
      <c r="O148" s="5"/>
      <c r="P148" s="39"/>
      <c r="Q148" s="10"/>
      <c r="R148" s="5"/>
    </row>
    <row r="149" spans="1:18" ht="15.75">
      <c r="B149" s="8" t="s">
        <v>210</v>
      </c>
      <c r="C149" s="1"/>
      <c r="D149" s="1"/>
      <c r="E149" s="1"/>
      <c r="F149" s="1"/>
      <c r="G149" s="1"/>
      <c r="H149" s="1"/>
      <c r="I149" s="1"/>
      <c r="J149" s="1"/>
      <c r="K149" s="1"/>
      <c r="L149" s="1"/>
      <c r="N149" s="10"/>
      <c r="O149" s="5"/>
      <c r="P149" s="39"/>
      <c r="Q149" s="10"/>
      <c r="R149" s="5"/>
    </row>
    <row r="150" spans="1:18">
      <c r="B150" s="89" t="s">
        <v>107</v>
      </c>
      <c r="C150" s="1">
        <f>C140</f>
        <v>2</v>
      </c>
      <c r="D150" s="1" t="s">
        <v>4</v>
      </c>
      <c r="E150" s="1">
        <f>E140</f>
        <v>16</v>
      </c>
      <c r="F150" s="1" t="s">
        <v>4</v>
      </c>
      <c r="G150" s="1">
        <v>5</v>
      </c>
      <c r="H150" s="1" t="s">
        <v>4</v>
      </c>
      <c r="I150" s="1">
        <v>3</v>
      </c>
      <c r="J150" s="1" t="s">
        <v>26</v>
      </c>
      <c r="K150" s="1"/>
      <c r="L150" s="1"/>
      <c r="M150" t="s">
        <v>5</v>
      </c>
      <c r="N150" s="49">
        <f>I150*G150*E150*C150</f>
        <v>480</v>
      </c>
      <c r="O150" s="5" t="s">
        <v>37</v>
      </c>
      <c r="P150" s="39"/>
      <c r="Q150" s="10"/>
      <c r="R150" s="5"/>
    </row>
    <row r="151" spans="1:18">
      <c r="B151" s="84">
        <f>N150</f>
        <v>480</v>
      </c>
      <c r="C151" s="1" t="str">
        <f>O150</f>
        <v>Cft.</v>
      </c>
      <c r="D151" s="1"/>
      <c r="E151" s="1"/>
      <c r="F151" s="1"/>
      <c r="G151" s="1"/>
      <c r="H151" s="1"/>
      <c r="I151" s="1"/>
      <c r="J151" s="1"/>
      <c r="K151" s="1"/>
      <c r="L151" s="1"/>
      <c r="M151" s="49" t="str">
        <f>M142</f>
        <v xml:space="preserve"> @Rs:</v>
      </c>
      <c r="N151" s="18">
        <f>5400+550</f>
        <v>5950</v>
      </c>
      <c r="O151" s="39" t="s">
        <v>105</v>
      </c>
      <c r="P151" s="10" t="s">
        <v>31</v>
      </c>
      <c r="Q151" s="11">
        <f>N151*B151/1000</f>
        <v>2856</v>
      </c>
    </row>
    <row r="152" spans="1:18">
      <c r="B152" s="84"/>
      <c r="C152" s="174"/>
      <c r="D152" s="174"/>
      <c r="E152" s="174"/>
      <c r="F152" s="174"/>
      <c r="G152" s="174"/>
      <c r="H152" s="174"/>
      <c r="I152" s="174"/>
      <c r="J152" s="174"/>
      <c r="K152" s="174"/>
      <c r="L152" s="174"/>
      <c r="M152" s="49"/>
      <c r="N152" s="18"/>
      <c r="O152" s="39"/>
      <c r="P152" s="175"/>
      <c r="Q152" s="11"/>
    </row>
    <row r="153" spans="1:18">
      <c r="B153" s="89" t="s">
        <v>109</v>
      </c>
      <c r="C153" s="1">
        <f>C150</f>
        <v>2</v>
      </c>
      <c r="D153" s="1" t="s">
        <v>4</v>
      </c>
      <c r="E153" s="1">
        <f>E150</f>
        <v>16</v>
      </c>
      <c r="F153" s="1" t="s">
        <v>4</v>
      </c>
      <c r="G153" s="1">
        <f>G150</f>
        <v>5</v>
      </c>
      <c r="H153" s="1" t="s">
        <v>4</v>
      </c>
      <c r="I153" s="1">
        <v>3</v>
      </c>
      <c r="J153" s="1" t="s">
        <v>26</v>
      </c>
      <c r="K153" s="1"/>
      <c r="L153" s="1"/>
      <c r="M153" t="s">
        <v>5</v>
      </c>
      <c r="N153" s="49">
        <f>I153*G153*E153*C153</f>
        <v>480</v>
      </c>
      <c r="O153" s="5" t="s">
        <v>37</v>
      </c>
      <c r="P153" s="39"/>
      <c r="Q153" s="10"/>
      <c r="R153" s="5"/>
    </row>
    <row r="154" spans="1:18">
      <c r="B154" s="89"/>
      <c r="C154" s="174"/>
      <c r="D154" s="174"/>
      <c r="E154" s="174"/>
      <c r="F154" s="174"/>
      <c r="G154" s="174"/>
      <c r="H154" s="174"/>
      <c r="I154" s="174"/>
      <c r="J154" s="174"/>
      <c r="K154" s="174"/>
      <c r="L154" s="174"/>
      <c r="N154" s="49"/>
      <c r="O154" s="5"/>
      <c r="P154" s="39"/>
      <c r="Q154" s="175"/>
      <c r="R154" s="5"/>
    </row>
    <row r="155" spans="1:18">
      <c r="B155" s="84">
        <f>N153</f>
        <v>480</v>
      </c>
      <c r="C155" s="1" t="str">
        <f>O153</f>
        <v>Cft.</v>
      </c>
      <c r="D155" s="1"/>
      <c r="E155" s="1"/>
      <c r="F155" s="1"/>
      <c r="G155" s="1"/>
      <c r="H155" s="1"/>
      <c r="I155" s="1"/>
      <c r="J155" s="1"/>
      <c r="K155" s="1"/>
      <c r="L155" s="1"/>
      <c r="M155" s="62" t="s">
        <v>32</v>
      </c>
      <c r="N155" s="18">
        <f>N151+550</f>
        <v>6500</v>
      </c>
      <c r="O155" s="39" t="s">
        <v>105</v>
      </c>
      <c r="P155" s="10" t="s">
        <v>31</v>
      </c>
      <c r="Q155" s="11">
        <f>N155*B155/1000</f>
        <v>3120</v>
      </c>
    </row>
    <row r="156" spans="1:18">
      <c r="C156" s="1"/>
      <c r="D156" s="1"/>
      <c r="E156" s="1"/>
      <c r="F156" s="1"/>
      <c r="G156" s="1"/>
      <c r="H156" s="1"/>
      <c r="I156" s="1"/>
      <c r="J156" s="1"/>
      <c r="K156" s="1"/>
      <c r="L156" s="1"/>
      <c r="N156" s="10"/>
      <c r="O156" s="5"/>
      <c r="P156" s="39"/>
      <c r="Q156" s="10"/>
      <c r="R156" s="5"/>
    </row>
    <row r="157" spans="1:18" ht="15.75">
      <c r="A157">
        <v>13</v>
      </c>
      <c r="B157" s="8" t="s">
        <v>108</v>
      </c>
      <c r="C157" s="1"/>
      <c r="D157" s="1"/>
      <c r="E157" s="1"/>
      <c r="F157" s="1"/>
      <c r="G157" s="1"/>
      <c r="H157" s="1"/>
      <c r="I157" s="1"/>
      <c r="J157" s="1"/>
      <c r="K157" s="1"/>
      <c r="L157" s="1"/>
      <c r="N157" s="10"/>
      <c r="O157" s="5"/>
      <c r="P157" s="39"/>
      <c r="Q157" s="10"/>
      <c r="R157" s="5"/>
    </row>
    <row r="158" spans="1:18" ht="15.75">
      <c r="A158" t="s">
        <v>26</v>
      </c>
      <c r="B158" s="8" t="s">
        <v>99</v>
      </c>
      <c r="C158" s="1"/>
      <c r="D158" s="1"/>
      <c r="E158" s="1"/>
      <c r="F158" s="1"/>
      <c r="G158" s="1"/>
      <c r="H158" s="1"/>
      <c r="I158" s="1"/>
      <c r="J158" s="1"/>
      <c r="K158" s="1"/>
      <c r="L158" s="1"/>
      <c r="N158" s="10"/>
      <c r="O158" s="5"/>
      <c r="P158" s="39"/>
      <c r="Q158" s="10"/>
      <c r="R158" s="5"/>
    </row>
    <row r="159" spans="1:18" ht="15.75">
      <c r="B159" s="8" t="s">
        <v>100</v>
      </c>
      <c r="C159" s="1"/>
      <c r="D159" s="1"/>
      <c r="E159" s="1"/>
      <c r="F159" s="1"/>
      <c r="G159" s="1"/>
      <c r="H159" s="1"/>
      <c r="I159" s="1"/>
      <c r="J159" s="1"/>
      <c r="K159" s="1"/>
      <c r="L159" s="1"/>
      <c r="N159" s="10"/>
      <c r="O159" s="5"/>
      <c r="P159" s="39"/>
      <c r="Q159" s="10"/>
      <c r="R159" s="5"/>
    </row>
    <row r="160" spans="1:18" ht="15.75">
      <c r="B160" s="8" t="s">
        <v>101</v>
      </c>
      <c r="C160" s="1"/>
      <c r="D160" s="1"/>
      <c r="E160" s="1"/>
      <c r="F160" s="1"/>
      <c r="G160" s="1"/>
      <c r="H160" s="1"/>
      <c r="I160" s="1"/>
      <c r="J160" s="1"/>
      <c r="K160" s="1"/>
      <c r="L160" s="1"/>
      <c r="N160" s="10"/>
      <c r="O160" s="5"/>
      <c r="P160" s="39"/>
      <c r="Q160" s="10"/>
      <c r="R160" s="5"/>
    </row>
    <row r="161" spans="1:18" ht="15.75">
      <c r="B161" s="8" t="s">
        <v>102</v>
      </c>
      <c r="C161" s="1"/>
      <c r="D161" s="1"/>
      <c r="E161" s="1"/>
      <c r="F161" s="1"/>
      <c r="G161" s="1"/>
      <c r="H161" s="1"/>
      <c r="I161" s="1"/>
      <c r="J161" s="1"/>
      <c r="K161" s="1"/>
      <c r="L161" s="1"/>
      <c r="N161" s="10"/>
      <c r="O161" s="5"/>
      <c r="P161" s="39"/>
      <c r="Q161" s="10"/>
      <c r="R161" s="5"/>
    </row>
    <row r="162" spans="1:18" ht="15.75">
      <c r="B162" s="8" t="s">
        <v>103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N162" s="10"/>
      <c r="O162" s="5"/>
      <c r="P162" s="39"/>
      <c r="Q162" s="10"/>
      <c r="R162" s="5"/>
    </row>
    <row r="163" spans="1:18" ht="15.75">
      <c r="B163" s="8" t="s">
        <v>211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N163" s="10"/>
      <c r="O163" s="5"/>
      <c r="P163" s="39"/>
      <c r="Q163" s="10"/>
      <c r="R163" s="5"/>
    </row>
    <row r="164" spans="1:18">
      <c r="B164" s="89" t="s">
        <v>319</v>
      </c>
      <c r="C164" s="1">
        <f>C150</f>
        <v>2</v>
      </c>
      <c r="D164" s="1" t="s">
        <v>4</v>
      </c>
      <c r="E164" s="1">
        <f>E140</f>
        <v>16</v>
      </c>
      <c r="F164" s="1" t="s">
        <v>4</v>
      </c>
      <c r="G164" s="1">
        <f>G153</f>
        <v>5</v>
      </c>
      <c r="H164" s="1" t="s">
        <v>4</v>
      </c>
      <c r="I164" s="1">
        <v>1</v>
      </c>
      <c r="J164" s="1" t="s">
        <v>26</v>
      </c>
      <c r="K164" s="1"/>
      <c r="L164" s="1"/>
      <c r="M164" t="s">
        <v>5</v>
      </c>
      <c r="N164" s="10">
        <f>I164*G164*E164*C164</f>
        <v>160</v>
      </c>
      <c r="O164" s="5" t="s">
        <v>37</v>
      </c>
      <c r="P164" s="39"/>
      <c r="Q164" s="10"/>
      <c r="R164" s="5"/>
    </row>
    <row r="165" spans="1:18">
      <c r="B165" s="3">
        <f>N164</f>
        <v>160</v>
      </c>
      <c r="C165" s="1" t="str">
        <f>O164</f>
        <v>Cft.</v>
      </c>
      <c r="D165" s="1"/>
      <c r="E165" s="1"/>
      <c r="F165" s="1"/>
      <c r="G165" s="1"/>
      <c r="H165" s="1"/>
      <c r="I165" s="1"/>
      <c r="J165" s="1"/>
      <c r="K165" s="1"/>
      <c r="L165" s="1"/>
      <c r="M165" s="49" t="str">
        <f>M151</f>
        <v xml:space="preserve"> @Rs:</v>
      </c>
      <c r="N165" s="18">
        <f>10800+550+550+550</f>
        <v>12450</v>
      </c>
      <c r="O165" s="39" t="s">
        <v>3</v>
      </c>
      <c r="P165" s="10" t="s">
        <v>31</v>
      </c>
      <c r="Q165" s="11">
        <f>N165*B165/1000</f>
        <v>1992</v>
      </c>
    </row>
    <row r="166" spans="1:18"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N166" s="49"/>
      <c r="O166" s="18"/>
      <c r="P166" s="39"/>
      <c r="Q166" s="10"/>
      <c r="R166" s="11"/>
    </row>
    <row r="167" spans="1:18" ht="15.75">
      <c r="A167">
        <v>14</v>
      </c>
      <c r="B167" s="41" t="s">
        <v>110</v>
      </c>
      <c r="C167" s="1"/>
      <c r="D167" s="1"/>
      <c r="E167" s="1"/>
      <c r="F167" s="1"/>
      <c r="G167" s="1"/>
      <c r="H167" s="1"/>
      <c r="I167" s="1"/>
      <c r="J167" s="1"/>
      <c r="K167" s="1"/>
      <c r="L167" s="1"/>
      <c r="N167" s="10"/>
      <c r="O167" s="5"/>
      <c r="P167" s="39"/>
      <c r="Q167" s="10"/>
      <c r="R167" s="5"/>
    </row>
    <row r="168" spans="1:18" ht="15.75">
      <c r="B168" s="41" t="s">
        <v>111</v>
      </c>
      <c r="C168" s="1"/>
      <c r="D168" s="1"/>
      <c r="E168" s="1"/>
      <c r="F168" s="1"/>
      <c r="G168" s="1"/>
      <c r="H168" s="1"/>
      <c r="I168" s="1"/>
      <c r="J168" s="1"/>
      <c r="K168" s="1"/>
      <c r="L168" s="1"/>
      <c r="N168" s="10"/>
      <c r="O168" s="5"/>
      <c r="P168" s="39"/>
      <c r="Q168" s="10"/>
      <c r="R168" s="5"/>
    </row>
    <row r="169" spans="1:18" ht="15.75">
      <c r="B169" s="41" t="s">
        <v>212</v>
      </c>
      <c r="C169" s="1"/>
      <c r="D169" s="1"/>
      <c r="E169" s="1"/>
      <c r="F169" s="1"/>
      <c r="G169" s="1"/>
      <c r="H169" s="1"/>
      <c r="I169" s="1"/>
      <c r="J169" s="1"/>
      <c r="K169" s="1"/>
      <c r="L169" s="1"/>
      <c r="N169" s="10"/>
      <c r="O169" s="5"/>
      <c r="P169" s="39"/>
      <c r="Q169" s="10"/>
      <c r="R169" s="5"/>
    </row>
    <row r="170" spans="1:18" ht="15">
      <c r="B170" s="90" t="s">
        <v>112</v>
      </c>
      <c r="C170" s="1">
        <f>C164</f>
        <v>2</v>
      </c>
      <c r="D170" s="1" t="s">
        <v>4</v>
      </c>
      <c r="E170" s="1">
        <f>E164</f>
        <v>16</v>
      </c>
      <c r="F170" s="1" t="s">
        <v>26</v>
      </c>
      <c r="G170" s="1"/>
      <c r="H170" s="1"/>
      <c r="I170" s="1"/>
      <c r="J170" s="1"/>
      <c r="K170" s="1"/>
      <c r="L170" s="1"/>
      <c r="M170" t="s">
        <v>5</v>
      </c>
      <c r="N170" s="91">
        <f>E170*C170</f>
        <v>32</v>
      </c>
      <c r="O170" s="5" t="s">
        <v>12</v>
      </c>
      <c r="P170" s="39"/>
      <c r="Q170" s="10"/>
      <c r="R170" s="5"/>
    </row>
    <row r="171" spans="1:18">
      <c r="B171" s="84">
        <f>N170</f>
        <v>32</v>
      </c>
      <c r="C171" s="1" t="str">
        <f>O170</f>
        <v>Rft</v>
      </c>
      <c r="D171" s="1"/>
      <c r="E171" s="1"/>
      <c r="F171" s="1"/>
      <c r="G171" s="1"/>
      <c r="H171" s="1"/>
      <c r="I171" s="1"/>
      <c r="J171" s="1"/>
      <c r="K171" s="1"/>
      <c r="L171" s="1"/>
      <c r="M171" s="49" t="str">
        <f>M165</f>
        <v xml:space="preserve"> @Rs:</v>
      </c>
      <c r="N171" s="18">
        <v>618</v>
      </c>
      <c r="O171" s="39" t="s">
        <v>88</v>
      </c>
      <c r="P171" s="10" t="s">
        <v>31</v>
      </c>
      <c r="Q171" s="11">
        <f>N171*B171</f>
        <v>19776</v>
      </c>
    </row>
    <row r="172" spans="1:18" ht="15.75">
      <c r="A172">
        <v>15</v>
      </c>
      <c r="B172" s="92" t="s">
        <v>113</v>
      </c>
      <c r="C172" s="1"/>
      <c r="D172" s="1"/>
      <c r="E172" s="1"/>
      <c r="F172" s="1"/>
      <c r="G172" s="1"/>
      <c r="H172" s="1"/>
      <c r="I172" s="1"/>
      <c r="J172" s="1"/>
      <c r="K172" s="1"/>
      <c r="L172" s="1"/>
      <c r="N172" s="10"/>
      <c r="O172" s="5"/>
      <c r="P172" s="39"/>
      <c r="Q172" s="10"/>
      <c r="R172" s="5"/>
    </row>
    <row r="173" spans="1:18" ht="15.75">
      <c r="B173" s="92" t="s">
        <v>114</v>
      </c>
      <c r="C173" s="1"/>
      <c r="D173" s="1"/>
      <c r="E173" s="1"/>
      <c r="F173" s="1"/>
      <c r="G173" s="1"/>
      <c r="H173" s="1"/>
      <c r="I173" s="1"/>
      <c r="J173" s="1"/>
      <c r="K173" s="1"/>
      <c r="L173" s="1"/>
      <c r="N173" s="10"/>
      <c r="O173" s="5"/>
      <c r="P173" s="39"/>
      <c r="Q173" s="10"/>
      <c r="R173" s="5"/>
    </row>
    <row r="174" spans="1:18" ht="15.75">
      <c r="B174" s="92" t="s">
        <v>213</v>
      </c>
      <c r="C174" s="1"/>
      <c r="D174" s="1"/>
      <c r="E174" s="1"/>
      <c r="F174" s="1"/>
      <c r="G174" s="1"/>
      <c r="H174" s="1"/>
      <c r="I174" s="1"/>
      <c r="J174" s="1"/>
      <c r="K174" s="1"/>
      <c r="L174" s="1"/>
      <c r="N174" s="10"/>
      <c r="O174" s="5"/>
      <c r="P174" s="39"/>
      <c r="Q174" s="10"/>
      <c r="R174" s="5"/>
    </row>
    <row r="175" spans="1:18">
      <c r="B175" s="93" t="s">
        <v>115</v>
      </c>
      <c r="C175" s="1"/>
      <c r="D175" s="1">
        <f>A133</f>
        <v>11</v>
      </c>
      <c r="E175" s="1" t="s">
        <v>55</v>
      </c>
      <c r="F175" s="1"/>
      <c r="G175" s="1">
        <f>A143</f>
        <v>12</v>
      </c>
      <c r="H175" s="1" t="s">
        <v>55</v>
      </c>
      <c r="I175" s="1">
        <f>A157</f>
        <v>13</v>
      </c>
      <c r="J175" s="1"/>
      <c r="K175" s="1"/>
      <c r="L175" s="1"/>
      <c r="M175" t="s">
        <v>5</v>
      </c>
      <c r="N175" s="78">
        <f>B142+B151+B165+B155</f>
        <v>1920</v>
      </c>
      <c r="O175" s="5" t="s">
        <v>37</v>
      </c>
      <c r="P175" s="39"/>
      <c r="Q175" s="10"/>
      <c r="R175" s="5"/>
    </row>
    <row r="176" spans="1:18">
      <c r="B176" s="305">
        <f>N175</f>
        <v>1920</v>
      </c>
      <c r="C176" s="305"/>
      <c r="D176" s="1" t="s">
        <v>4</v>
      </c>
      <c r="E176" s="1">
        <v>0.9</v>
      </c>
      <c r="F176" s="1"/>
      <c r="G176" s="1"/>
      <c r="H176" s="1"/>
      <c r="I176" s="1"/>
      <c r="J176" s="1"/>
      <c r="K176" s="1"/>
      <c r="L176" s="1"/>
      <c r="M176" t="s">
        <v>5</v>
      </c>
      <c r="N176" s="78">
        <f>B176*E176</f>
        <v>1728</v>
      </c>
      <c r="O176" s="5" t="s">
        <v>37</v>
      </c>
      <c r="P176" s="39"/>
      <c r="Q176" s="10"/>
      <c r="R176" s="5"/>
    </row>
    <row r="177" spans="1:23">
      <c r="B177" s="84">
        <f>N176</f>
        <v>1728</v>
      </c>
      <c r="C177" s="1" t="str">
        <f>O176</f>
        <v>Cft.</v>
      </c>
      <c r="D177" s="1"/>
      <c r="E177" s="1"/>
      <c r="F177" s="1"/>
      <c r="G177" s="1"/>
      <c r="H177" s="1"/>
      <c r="I177" s="1"/>
      <c r="J177" s="1"/>
      <c r="K177" s="1"/>
      <c r="L177" s="1"/>
      <c r="M177" s="49" t="str">
        <f>M171</f>
        <v xml:space="preserve"> @Rs:</v>
      </c>
      <c r="N177" s="18">
        <v>2760</v>
      </c>
      <c r="O177" s="39" t="s">
        <v>3</v>
      </c>
      <c r="P177" s="10" t="s">
        <v>31</v>
      </c>
      <c r="Q177" s="11">
        <f>N177*B177/1000</f>
        <v>4769.28</v>
      </c>
    </row>
    <row r="178" spans="1:23"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N178" s="49"/>
      <c r="O178" s="5"/>
      <c r="P178" s="39"/>
      <c r="Q178" s="10"/>
      <c r="R178" s="11"/>
    </row>
    <row r="179" spans="1:23" s="20" customFormat="1" ht="15">
      <c r="A179" s="42">
        <v>16</v>
      </c>
      <c r="B179" s="20" t="s">
        <v>27</v>
      </c>
      <c r="E179" s="19"/>
      <c r="I179" s="19"/>
      <c r="N179" s="25"/>
    </row>
    <row r="180" spans="1:23" s="20" customFormat="1" ht="15">
      <c r="A180" s="42"/>
      <c r="B180" s="20" t="s">
        <v>43</v>
      </c>
      <c r="E180" s="19"/>
      <c r="I180" s="19"/>
      <c r="N180" s="25"/>
    </row>
    <row r="181" spans="1:23">
      <c r="B181" s="3"/>
      <c r="C181" s="1">
        <v>1</v>
      </c>
      <c r="D181" s="1" t="s">
        <v>4</v>
      </c>
      <c r="E181" s="1">
        <v>10</v>
      </c>
      <c r="F181" s="1" t="s">
        <v>4</v>
      </c>
      <c r="G181" s="1">
        <v>1.1299999999999999</v>
      </c>
      <c r="H181" s="1" t="s">
        <v>4</v>
      </c>
      <c r="I181" s="1">
        <v>2</v>
      </c>
      <c r="J181" s="1"/>
      <c r="K181" s="1"/>
      <c r="L181" s="1"/>
      <c r="M181" t="s">
        <v>5</v>
      </c>
      <c r="N181" s="49">
        <f>I181*G181*E181*C181</f>
        <v>22.599999999999998</v>
      </c>
      <c r="O181" s="45" t="s">
        <v>8</v>
      </c>
      <c r="P181" s="39"/>
      <c r="Q181" s="10"/>
      <c r="R181" s="11"/>
    </row>
    <row r="182" spans="1:23">
      <c r="B182" s="3"/>
      <c r="C182" s="1">
        <v>2</v>
      </c>
      <c r="D182" s="1" t="s">
        <v>4</v>
      </c>
      <c r="E182" s="1">
        <v>1.1299999999999999</v>
      </c>
      <c r="F182" s="1" t="s">
        <v>4</v>
      </c>
      <c r="G182" s="1">
        <v>1.1299999999999999</v>
      </c>
      <c r="H182" s="1" t="s">
        <v>4</v>
      </c>
      <c r="I182" s="1">
        <v>6</v>
      </c>
      <c r="J182" s="1"/>
      <c r="K182" s="1"/>
      <c r="L182" s="1"/>
      <c r="M182" t="s">
        <v>5</v>
      </c>
      <c r="N182" s="77">
        <f>I182*G182*E182*C182</f>
        <v>15.322799999999997</v>
      </c>
      <c r="O182" s="45" t="s">
        <v>8</v>
      </c>
      <c r="P182" s="39"/>
      <c r="Q182" s="10"/>
      <c r="R182" s="11"/>
    </row>
    <row r="183" spans="1:23"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N183" s="78">
        <f>N182+N181</f>
        <v>37.922799999999995</v>
      </c>
      <c r="O183" s="45" t="s">
        <v>8</v>
      </c>
      <c r="P183" s="39"/>
      <c r="Q183" s="10"/>
      <c r="R183" s="11"/>
    </row>
    <row r="184" spans="1:23" ht="15">
      <c r="B184" s="84">
        <f>N183</f>
        <v>37.922799999999995</v>
      </c>
      <c r="C184" s="57" t="s">
        <v>8</v>
      </c>
      <c r="D184" s="1"/>
      <c r="E184" s="1"/>
      <c r="F184" s="1"/>
      <c r="G184" s="1"/>
      <c r="H184" s="1"/>
      <c r="I184" s="1"/>
      <c r="J184" s="1"/>
      <c r="K184" s="1"/>
      <c r="L184" s="1"/>
      <c r="M184" s="62" t="s">
        <v>320</v>
      </c>
      <c r="N184" s="44">
        <v>11948.36</v>
      </c>
      <c r="O184" s="69" t="s">
        <v>14</v>
      </c>
      <c r="P184" s="10" t="s">
        <v>31</v>
      </c>
      <c r="Q184" s="11">
        <f>N184*B184/100</f>
        <v>4531.15266608</v>
      </c>
    </row>
    <row r="185" spans="1:23" s="20" customFormat="1" ht="15">
      <c r="A185" s="42"/>
      <c r="E185" s="19"/>
      <c r="I185" s="19"/>
      <c r="N185" s="25"/>
    </row>
    <row r="186" spans="1:23">
      <c r="A186">
        <v>17</v>
      </c>
      <c r="B186" s="7" t="s">
        <v>214</v>
      </c>
      <c r="C186" s="1"/>
      <c r="D186" s="1"/>
      <c r="E186" s="1"/>
      <c r="F186" s="1"/>
      <c r="G186" s="1"/>
      <c r="H186" s="1"/>
      <c r="I186" s="1"/>
      <c r="J186" s="1"/>
      <c r="K186" s="1"/>
      <c r="L186" s="1"/>
      <c r="N186" s="49"/>
      <c r="O186" s="5"/>
      <c r="P186" s="39"/>
      <c r="Q186" s="10"/>
      <c r="R186" s="11"/>
    </row>
    <row r="187" spans="1:23">
      <c r="B187" s="3"/>
      <c r="C187" s="1">
        <f>C181</f>
        <v>1</v>
      </c>
      <c r="D187" s="1" t="s">
        <v>4</v>
      </c>
      <c r="E187" s="1">
        <f>E181</f>
        <v>10</v>
      </c>
      <c r="F187" s="1" t="s">
        <v>4</v>
      </c>
      <c r="G187" s="1">
        <v>2.25</v>
      </c>
      <c r="H187" s="1"/>
      <c r="I187" s="1"/>
      <c r="J187" s="1"/>
      <c r="K187" s="1"/>
      <c r="L187" s="1"/>
      <c r="M187" t="s">
        <v>5</v>
      </c>
      <c r="N187" s="77">
        <f>G187*E187*C187</f>
        <v>22.5</v>
      </c>
      <c r="O187" s="5" t="s">
        <v>36</v>
      </c>
      <c r="P187" s="39"/>
      <c r="Q187" s="10"/>
      <c r="R187" s="11"/>
    </row>
    <row r="188" spans="1:23">
      <c r="B188" s="3"/>
      <c r="C188" s="1">
        <f>C182</f>
        <v>2</v>
      </c>
      <c r="D188" s="1" t="s">
        <v>4</v>
      </c>
      <c r="E188" s="1">
        <v>3</v>
      </c>
      <c r="F188" s="1" t="s">
        <v>4</v>
      </c>
      <c r="G188" s="1">
        <v>1.1299999999999999</v>
      </c>
      <c r="H188" s="1" t="s">
        <v>4</v>
      </c>
      <c r="I188" s="1">
        <v>8</v>
      </c>
      <c r="J188" s="1"/>
      <c r="K188" s="1"/>
      <c r="L188" s="1"/>
      <c r="M188" t="s">
        <v>5</v>
      </c>
      <c r="N188" s="77">
        <f>I188*G188*E188*C188</f>
        <v>54.239999999999995</v>
      </c>
      <c r="O188" s="24" t="s">
        <v>36</v>
      </c>
      <c r="P188" s="39"/>
      <c r="Q188" s="10"/>
      <c r="R188" s="11"/>
    </row>
    <row r="189" spans="1:23"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N189" s="78">
        <f>N188+N187</f>
        <v>76.739999999999995</v>
      </c>
      <c r="O189" s="81" t="s">
        <v>36</v>
      </c>
      <c r="P189" s="39"/>
      <c r="Q189" s="10"/>
      <c r="R189" s="11"/>
    </row>
    <row r="190" spans="1:23" ht="15.75">
      <c r="B190" s="84">
        <f>N189</f>
        <v>76.739999999999995</v>
      </c>
      <c r="C190" s="4" t="str">
        <f>O189</f>
        <v>Sft.</v>
      </c>
      <c r="D190" s="1"/>
      <c r="E190" s="1"/>
      <c r="F190" s="1"/>
      <c r="G190" s="1"/>
      <c r="H190" s="1"/>
      <c r="I190" s="1"/>
      <c r="J190" s="1"/>
      <c r="K190" s="1"/>
      <c r="L190" s="1"/>
      <c r="M190" s="49" t="str">
        <f>M177</f>
        <v xml:space="preserve"> @Rs:</v>
      </c>
      <c r="N190" s="5">
        <v>2283.9299999999998</v>
      </c>
      <c r="O190" s="39" t="s">
        <v>9</v>
      </c>
      <c r="P190" s="79" t="s">
        <v>31</v>
      </c>
      <c r="Q190" s="12">
        <f>N190*B190/100</f>
        <v>1752.6878819999997</v>
      </c>
      <c r="S190" s="8"/>
      <c r="T190" s="8"/>
      <c r="U190" s="8"/>
      <c r="V190" s="8"/>
      <c r="W190" s="8"/>
    </row>
    <row r="191" spans="1:23" ht="15.7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0"/>
      <c r="N191" s="5"/>
      <c r="O191" s="94" t="s">
        <v>6</v>
      </c>
      <c r="P191" s="80" t="s">
        <v>31</v>
      </c>
      <c r="Q191" s="9">
        <f>SUM(Q9:Q190)</f>
        <v>3132075.2683669687</v>
      </c>
      <c r="S191" s="8"/>
      <c r="T191" s="8"/>
      <c r="U191" s="8"/>
      <c r="V191" s="8"/>
      <c r="W191" s="8"/>
    </row>
    <row r="192" spans="1:23">
      <c r="C192" s="1"/>
      <c r="D192" s="1"/>
      <c r="E192" s="1"/>
      <c r="F192" s="1"/>
      <c r="G192" s="1"/>
      <c r="H192" s="1"/>
      <c r="I192" s="1"/>
      <c r="J192" s="1"/>
      <c r="K192" s="1"/>
      <c r="L192" s="1"/>
      <c r="N192" s="10"/>
      <c r="O192" s="5"/>
      <c r="P192" s="39"/>
      <c r="Q192" s="10"/>
      <c r="R192" s="5"/>
    </row>
    <row r="193" spans="1:17" s="8" customFormat="1" ht="15" customHeight="1">
      <c r="A193" s="8">
        <v>18</v>
      </c>
      <c r="B193" s="17" t="s">
        <v>23</v>
      </c>
    </row>
    <row r="194" spans="1:17" s="8" customFormat="1" ht="15" customHeight="1">
      <c r="B194" s="8" t="e">
        <f>#REF!</f>
        <v>#REF!</v>
      </c>
    </row>
    <row r="195" spans="1:17">
      <c r="B195" s="2">
        <f>M.stat!I13</f>
        <v>3774.0600089000004</v>
      </c>
      <c r="C195" t="s">
        <v>8</v>
      </c>
      <c r="M195" s="49" t="s">
        <v>32</v>
      </c>
      <c r="N195" s="18" t="e">
        <f>#REF!</f>
        <v>#REF!</v>
      </c>
      <c r="O195" t="s">
        <v>14</v>
      </c>
      <c r="P195" t="s">
        <v>31</v>
      </c>
      <c r="Q195" s="118" t="e">
        <f>B195*N195/100</f>
        <v>#REF!</v>
      </c>
    </row>
    <row r="196" spans="1:17" s="8" customFormat="1" ht="15" customHeight="1">
      <c r="N196" s="92"/>
    </row>
    <row r="197" spans="1:17" s="8" customFormat="1" ht="15" customHeight="1">
      <c r="A197" s="8" t="s">
        <v>26</v>
      </c>
      <c r="B197" s="8" t="e">
        <f>#REF!</f>
        <v>#REF!</v>
      </c>
      <c r="N197" s="92"/>
    </row>
    <row r="198" spans="1:17">
      <c r="B198" s="2">
        <f>M.stat!G13</f>
        <v>6107.9207089199999</v>
      </c>
      <c r="C198" t="s">
        <v>8</v>
      </c>
      <c r="M198" s="49" t="s">
        <v>32</v>
      </c>
      <c r="N198" s="18" t="e">
        <f>#REF!</f>
        <v>#REF!</v>
      </c>
      <c r="O198" t="s">
        <v>14</v>
      </c>
      <c r="P198" t="s">
        <v>31</v>
      </c>
      <c r="Q198" s="118" t="e">
        <f>B198*N198/100</f>
        <v>#REF!</v>
      </c>
    </row>
    <row r="199" spans="1:17" s="8" customFormat="1" ht="15" customHeight="1">
      <c r="N199" s="92"/>
    </row>
    <row r="200" spans="1:17" s="8" customFormat="1" ht="15" customHeight="1">
      <c r="B200" s="8" t="e">
        <f>#REF!</f>
        <v>#REF!</v>
      </c>
    </row>
    <row r="201" spans="1:17">
      <c r="B201" s="2">
        <f>M.stat!H13</f>
        <v>1415.1817096800003</v>
      </c>
      <c r="C201" t="s">
        <v>8</v>
      </c>
      <c r="M201" s="49" t="s">
        <v>32</v>
      </c>
      <c r="N201" s="18" t="e">
        <f>#REF!</f>
        <v>#REF!</v>
      </c>
      <c r="O201" t="s">
        <v>14</v>
      </c>
      <c r="P201" t="s">
        <v>31</v>
      </c>
      <c r="Q201" s="118" t="e">
        <f>B201*N201/100</f>
        <v>#REF!</v>
      </c>
    </row>
    <row r="202" spans="1:17" s="8" customFormat="1" ht="15" customHeight="1"/>
    <row r="203" spans="1:17" s="8" customFormat="1" ht="15" customHeight="1">
      <c r="B203" s="8" t="e">
        <f>#REF!</f>
        <v>#REF!</v>
      </c>
    </row>
    <row r="204" spans="1:17">
      <c r="B204" s="2">
        <f>M.stat!K13</f>
        <v>511.95779999999991</v>
      </c>
      <c r="C204" t="s">
        <v>46</v>
      </c>
      <c r="M204" s="49" t="s">
        <v>32</v>
      </c>
      <c r="N204" s="18" t="e">
        <f>#REF!</f>
        <v>#REF!</v>
      </c>
      <c r="O204" t="s">
        <v>198</v>
      </c>
      <c r="P204" t="s">
        <v>31</v>
      </c>
      <c r="Q204" s="118" t="e">
        <f>B204*N204/1000</f>
        <v>#REF!</v>
      </c>
    </row>
    <row r="205" spans="1:17" s="8" customFormat="1" ht="15" customHeight="1"/>
    <row r="206" spans="1:17" s="8" customFormat="1" ht="15.75">
      <c r="B206" s="8" t="e">
        <f>#REF!</f>
        <v>#REF!</v>
      </c>
    </row>
    <row r="207" spans="1:17">
      <c r="B207" s="2">
        <f>M.stat!J13</f>
        <v>1205.607905072</v>
      </c>
      <c r="C207" t="s">
        <v>191</v>
      </c>
      <c r="M207" s="49" t="s">
        <v>32</v>
      </c>
      <c r="N207" s="18" t="e">
        <f>#REF!</f>
        <v>#REF!</v>
      </c>
      <c r="O207" t="s">
        <v>47</v>
      </c>
      <c r="P207" t="s">
        <v>31</v>
      </c>
      <c r="Q207" s="118" t="e">
        <f>B207*N207</f>
        <v>#REF!</v>
      </c>
    </row>
    <row r="208" spans="1:17" s="8" customFormat="1" ht="15.75" hidden="1"/>
    <row r="209" spans="2:23" s="8" customFormat="1" ht="15.75" hidden="1">
      <c r="B209" s="66" t="s">
        <v>44</v>
      </c>
    </row>
    <row r="210" spans="2:23" ht="16.5" hidden="1">
      <c r="C210" t="s">
        <v>8</v>
      </c>
      <c r="M210" s="49" t="s">
        <v>32</v>
      </c>
      <c r="N210" s="44">
        <v>579.41</v>
      </c>
      <c r="O210" t="s">
        <v>14</v>
      </c>
      <c r="P210" t="s">
        <v>31</v>
      </c>
      <c r="Q210" s="118">
        <f>B210*N210/100</f>
        <v>0</v>
      </c>
      <c r="S210" s="8"/>
      <c r="T210" s="8"/>
      <c r="U210" s="8"/>
      <c r="V210" s="8"/>
      <c r="W210" s="8"/>
    </row>
    <row r="211" spans="2:23" s="8" customFormat="1" ht="15.75">
      <c r="S211"/>
      <c r="T211"/>
      <c r="U211"/>
      <c r="V211"/>
      <c r="W211"/>
    </row>
    <row r="212" spans="2:23" s="8" customFormat="1" ht="15.75">
      <c r="B212" s="66" t="s">
        <v>238</v>
      </c>
    </row>
    <row r="213" spans="2:23" s="8" customFormat="1" ht="15.75">
      <c r="B213" s="66" t="s">
        <v>239</v>
      </c>
      <c r="C213" s="306" t="e">
        <f>#REF!</f>
        <v>#REF!</v>
      </c>
      <c r="D213" s="306"/>
      <c r="E213" s="66" t="s">
        <v>240</v>
      </c>
    </row>
    <row r="214" spans="2:23" ht="15">
      <c r="B214" s="130">
        <f>B171</f>
        <v>32</v>
      </c>
      <c r="C214" s="57" t="s">
        <v>12</v>
      </c>
      <c r="D214" s="1"/>
      <c r="E214" s="1" t="str">
        <f>B170</f>
        <v xml:space="preserve">18" dia </v>
      </c>
      <c r="F214" s="1" t="s">
        <v>26</v>
      </c>
      <c r="G214" s="1"/>
      <c r="H214" s="1"/>
      <c r="I214" s="1"/>
      <c r="J214" s="1"/>
      <c r="K214" s="1"/>
      <c r="L214" s="1"/>
      <c r="M214" s="60" t="s">
        <v>32</v>
      </c>
      <c r="N214" s="18" t="e">
        <f>(C213-6)*33.91+804.1</f>
        <v>#REF!</v>
      </c>
      <c r="O214" s="45" t="s">
        <v>241</v>
      </c>
      <c r="P214" s="69" t="s">
        <v>31</v>
      </c>
      <c r="Q214" s="11" t="e">
        <f>B214*N214/100</f>
        <v>#REF!</v>
      </c>
      <c r="R214" s="5"/>
      <c r="S214" s="7"/>
      <c r="T214" s="7"/>
      <c r="U214" s="7"/>
      <c r="V214" s="7"/>
      <c r="W214" s="7"/>
    </row>
    <row r="215" spans="2:23" s="8" customFormat="1" ht="15.75">
      <c r="P215" t="s">
        <v>31</v>
      </c>
      <c r="Q215" s="106" t="e">
        <f>SUM(Q195:Q214)</f>
        <v>#REF!</v>
      </c>
      <c r="S215" s="7"/>
      <c r="T215" s="7"/>
      <c r="U215" s="7"/>
      <c r="V215" s="7"/>
      <c r="W215" s="7"/>
    </row>
    <row r="216" spans="2:23" s="8" customFormat="1" ht="15.75">
      <c r="S216" s="7"/>
      <c r="T216" s="7"/>
      <c r="U216" s="7"/>
      <c r="V216" s="7"/>
      <c r="W216" s="7"/>
    </row>
    <row r="217" spans="2:23" s="7" customFormat="1" ht="15">
      <c r="N217" s="7" t="s">
        <v>48</v>
      </c>
      <c r="P217" s="22" t="s">
        <v>7</v>
      </c>
      <c r="Q217" s="48">
        <f>Q191</f>
        <v>3132075.2683669687</v>
      </c>
    </row>
    <row r="218" spans="2:23" s="7" customFormat="1" hidden="1">
      <c r="Q218" s="45"/>
    </row>
    <row r="219" spans="2:23" s="7" customFormat="1" ht="15" hidden="1">
      <c r="N219" s="7" t="s">
        <v>49</v>
      </c>
      <c r="P219" s="22" t="s">
        <v>7</v>
      </c>
      <c r="Q219" s="48">
        <v>0</v>
      </c>
    </row>
    <row r="220" spans="2:23" s="7" customFormat="1">
      <c r="P220" s="21" t="s">
        <v>7</v>
      </c>
      <c r="Q220" s="9" t="e">
        <f>SUM(Q215:Q219)</f>
        <v>#REF!</v>
      </c>
    </row>
    <row r="221" spans="2:23" s="7" customFormat="1" hidden="1">
      <c r="Q221" s="45"/>
      <c r="S221"/>
      <c r="T221"/>
      <c r="U221"/>
      <c r="V221"/>
      <c r="W221"/>
    </row>
    <row r="222" spans="2:23" s="7" customFormat="1" ht="15" hidden="1">
      <c r="J222" s="60" t="s">
        <v>45</v>
      </c>
      <c r="K222" s="60"/>
      <c r="L222" s="304">
        <v>0</v>
      </c>
      <c r="M222" s="304"/>
      <c r="N222" s="7" t="s">
        <v>50</v>
      </c>
      <c r="P222" s="22" t="s">
        <v>7</v>
      </c>
      <c r="Q222" s="48" t="e">
        <f>Q220*L222</f>
        <v>#REF!</v>
      </c>
      <c r="S222"/>
      <c r="T222"/>
      <c r="U222"/>
      <c r="V222"/>
      <c r="W222"/>
    </row>
    <row r="223" spans="2:23" s="7" customFormat="1" hidden="1">
      <c r="O223" s="3" t="s">
        <v>51</v>
      </c>
      <c r="P223" s="21" t="s">
        <v>7</v>
      </c>
      <c r="Q223" s="9" t="e">
        <f>Q220-Q222</f>
        <v>#REF!</v>
      </c>
      <c r="S223"/>
      <c r="T223"/>
      <c r="U223"/>
      <c r="V223"/>
      <c r="W223"/>
    </row>
  </sheetData>
  <mergeCells count="5">
    <mergeCell ref="B1:O1"/>
    <mergeCell ref="L222:M222"/>
    <mergeCell ref="B176:C176"/>
    <mergeCell ref="C213:D213"/>
    <mergeCell ref="G29:I29"/>
  </mergeCells>
  <pageMargins left="0.72" right="0.26" top="0.28000000000000003" bottom="0.28999999999999998" header="0.21" footer="0.24"/>
  <pageSetup paperSize="9" scale="98" orientation="portrait" r:id="rId1"/>
  <headerFooter alignWithMargins="0"/>
  <rowBreaks count="3" manualBreakCount="3">
    <brk id="67" max="16383" man="1"/>
    <brk id="113" max="16383" man="1"/>
    <brk id="17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3"/>
  <sheetViews>
    <sheetView workbookViewId="0">
      <selection activeCell="I10" sqref="I10"/>
    </sheetView>
  </sheetViews>
  <sheetFormatPr defaultRowHeight="12.75"/>
  <cols>
    <col min="1" max="1" width="6" customWidth="1"/>
    <col min="2" max="2" width="20.140625" customWidth="1"/>
    <col min="3" max="3" width="5.85546875" customWidth="1"/>
    <col min="4" max="4" width="2.28515625" customWidth="1"/>
    <col min="5" max="5" width="6.42578125" customWidth="1"/>
    <col min="6" max="6" width="13.42578125" customWidth="1"/>
    <col min="7" max="7" width="13.140625" customWidth="1"/>
    <col min="8" max="8" width="13.7109375" customWidth="1"/>
    <col min="9" max="9" width="15.140625" customWidth="1"/>
    <col min="10" max="10" width="13.7109375" customWidth="1"/>
    <col min="11" max="11" width="15.140625" customWidth="1"/>
  </cols>
  <sheetData>
    <row r="1" spans="1:17" ht="15.75">
      <c r="A1" s="308" t="s">
        <v>24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17">
      <c r="A2" s="76" t="s">
        <v>369</v>
      </c>
    </row>
    <row r="3" spans="1:17">
      <c r="A3" s="76"/>
    </row>
    <row r="4" spans="1:17" ht="30" customHeight="1">
      <c r="A4" s="14" t="s">
        <v>16</v>
      </c>
      <c r="B4" s="309" t="s">
        <v>0</v>
      </c>
      <c r="C4" s="310"/>
      <c r="D4" s="310"/>
      <c r="E4" s="311"/>
      <c r="F4" s="14" t="s">
        <v>17</v>
      </c>
      <c r="G4" s="14" t="s">
        <v>18</v>
      </c>
      <c r="H4" s="14" t="s">
        <v>19</v>
      </c>
      <c r="I4" s="14" t="s">
        <v>20</v>
      </c>
      <c r="J4" s="14" t="s">
        <v>21</v>
      </c>
      <c r="K4" s="14" t="s">
        <v>322</v>
      </c>
    </row>
    <row r="5" spans="1:17" ht="30" customHeight="1">
      <c r="A5" s="15"/>
      <c r="B5" s="312" t="s">
        <v>116</v>
      </c>
      <c r="C5" s="313"/>
      <c r="D5" s="313"/>
      <c r="E5" s="314"/>
      <c r="F5" s="16">
        <f>D.WORK!B80</f>
        <v>1474.1476142500003</v>
      </c>
      <c r="G5" s="95">
        <v>0</v>
      </c>
      <c r="H5" s="16">
        <f>F5*96%</f>
        <v>1415.1817096800003</v>
      </c>
      <c r="I5" s="95">
        <f>F5*48%</f>
        <v>707.59085484000013</v>
      </c>
      <c r="J5" s="95">
        <f>F5*9.6%</f>
        <v>141.51817096800002</v>
      </c>
      <c r="K5" s="95">
        <v>0</v>
      </c>
    </row>
    <row r="6" spans="1:17" ht="30" customHeight="1">
      <c r="A6" s="15">
        <v>3</v>
      </c>
      <c r="B6" s="312" t="s">
        <v>192</v>
      </c>
      <c r="C6" s="313"/>
      <c r="D6" s="313"/>
      <c r="E6" s="314"/>
      <c r="F6" s="16">
        <f>D.WORK!B184</f>
        <v>37.922799999999995</v>
      </c>
      <c r="G6" s="16">
        <v>0</v>
      </c>
      <c r="H6" s="16">
        <v>0</v>
      </c>
      <c r="I6" s="16">
        <f>F6*25.7%</f>
        <v>9.7461595999999986</v>
      </c>
      <c r="J6" s="16">
        <f>F6*3.44%</f>
        <v>1.3045443199999998</v>
      </c>
      <c r="K6" s="16">
        <f>F6*1350%</f>
        <v>511.95779999999991</v>
      </c>
    </row>
    <row r="7" spans="1:17" ht="30" customHeight="1">
      <c r="A7" s="15"/>
      <c r="B7" s="315" t="s">
        <v>321</v>
      </c>
      <c r="C7" s="313"/>
      <c r="D7" s="313"/>
      <c r="E7" s="314"/>
      <c r="F7" s="16"/>
      <c r="G7" s="95">
        <f>F7*84%</f>
        <v>0</v>
      </c>
      <c r="H7" s="15">
        <v>0</v>
      </c>
      <c r="I7" s="95">
        <f>F7*42%</f>
        <v>0</v>
      </c>
      <c r="J7" s="95">
        <f>F7*22.5%</f>
        <v>0</v>
      </c>
      <c r="K7" s="95">
        <v>0</v>
      </c>
    </row>
    <row r="8" spans="1:17" ht="30" customHeight="1">
      <c r="A8" s="15"/>
      <c r="B8" s="315" t="s">
        <v>118</v>
      </c>
      <c r="C8" s="317"/>
      <c r="D8" s="317"/>
      <c r="E8" s="318"/>
      <c r="F8" s="68">
        <f>D.WORK!B190</f>
        <v>76.739999999999995</v>
      </c>
      <c r="G8" s="96">
        <v>0</v>
      </c>
      <c r="H8" s="96">
        <v>0</v>
      </c>
      <c r="I8" s="96">
        <f>F8*3.6%</f>
        <v>2.7626400000000002</v>
      </c>
      <c r="J8" s="96">
        <f>F8*0.52%</f>
        <v>0.39904799999999996</v>
      </c>
      <c r="K8" s="96">
        <v>0</v>
      </c>
    </row>
    <row r="9" spans="1:17" ht="30" customHeight="1">
      <c r="A9" s="15"/>
      <c r="B9" s="315" t="s">
        <v>28</v>
      </c>
      <c r="C9" s="317"/>
      <c r="D9" s="317"/>
      <c r="E9" s="318"/>
      <c r="F9" s="68">
        <f>D.WORK!B89</f>
        <v>1020.5</v>
      </c>
      <c r="G9" s="16">
        <f>F9*96%</f>
        <v>979.68</v>
      </c>
      <c r="H9" s="96">
        <f>SUM(H7:H8)</f>
        <v>0</v>
      </c>
      <c r="I9" s="96">
        <f>F9*48%</f>
        <v>489.84</v>
      </c>
      <c r="J9" s="96">
        <f>F9*9.6%</f>
        <v>97.968000000000004</v>
      </c>
      <c r="K9" s="96">
        <v>0</v>
      </c>
    </row>
    <row r="10" spans="1:17" ht="30" customHeight="1">
      <c r="A10" s="15"/>
      <c r="B10" s="312" t="s">
        <v>117</v>
      </c>
      <c r="C10" s="313"/>
      <c r="D10" s="313"/>
      <c r="E10" s="314"/>
      <c r="F10" s="16">
        <f>D.WORK!B96</f>
        <v>1020.5</v>
      </c>
      <c r="G10" s="95">
        <f>F10*92%</f>
        <v>938.86</v>
      </c>
      <c r="H10" s="95">
        <v>0</v>
      </c>
      <c r="I10" s="95">
        <f>F10*46%</f>
        <v>469.43</v>
      </c>
      <c r="J10" s="95">
        <f>F10*13%</f>
        <v>132.66499999999999</v>
      </c>
      <c r="K10" s="95">
        <v>0</v>
      </c>
    </row>
    <row r="11" spans="1:17" ht="30" customHeight="1">
      <c r="A11" s="15"/>
      <c r="B11" s="315" t="s">
        <v>29</v>
      </c>
      <c r="C11" s="317"/>
      <c r="D11" s="317"/>
      <c r="E11" s="318"/>
      <c r="F11" s="68">
        <f>D.WORK!B102</f>
        <v>1020.5</v>
      </c>
      <c r="G11" s="96">
        <f>F11*88%</f>
        <v>898.04</v>
      </c>
      <c r="H11" s="96">
        <f>SUM(H8:H9)</f>
        <v>0</v>
      </c>
      <c r="I11" s="96">
        <f>F11*44%</f>
        <v>449.02</v>
      </c>
      <c r="J11" s="96">
        <f>F11*17%</f>
        <v>173.48500000000001</v>
      </c>
      <c r="K11" s="96">
        <v>0</v>
      </c>
      <c r="L11" s="316"/>
      <c r="M11" s="316"/>
      <c r="N11" s="316"/>
      <c r="O11" s="316"/>
      <c r="P11" s="316"/>
      <c r="Q11" s="316"/>
    </row>
    <row r="12" spans="1:17" ht="30" customHeight="1">
      <c r="A12" s="15"/>
      <c r="B12" s="315" t="s">
        <v>119</v>
      </c>
      <c r="C12" s="317"/>
      <c r="D12" s="317"/>
      <c r="E12" s="318"/>
      <c r="F12" s="68">
        <f>D.WORK!B31</f>
        <v>3740.1598964999998</v>
      </c>
      <c r="G12" s="96">
        <f>F12*88%</f>
        <v>3291.34070892</v>
      </c>
      <c r="H12" s="96">
        <v>0</v>
      </c>
      <c r="I12" s="96">
        <f>F12*44%</f>
        <v>1645.67035446</v>
      </c>
      <c r="J12" s="96">
        <f>F12*17.6%</f>
        <v>658.26814178400002</v>
      </c>
      <c r="K12" s="96">
        <v>0</v>
      </c>
      <c r="L12" s="71"/>
      <c r="M12" s="71"/>
      <c r="N12" s="71"/>
      <c r="O12" s="71"/>
      <c r="P12" s="71"/>
      <c r="Q12" s="71"/>
    </row>
    <row r="13" spans="1:17" ht="30" customHeight="1">
      <c r="A13" s="13"/>
      <c r="B13" s="309" t="s">
        <v>6</v>
      </c>
      <c r="C13" s="310"/>
      <c r="D13" s="310"/>
      <c r="E13" s="311"/>
      <c r="F13" s="14"/>
      <c r="G13" s="97">
        <f>SUM(G5:G12)</f>
        <v>6107.9207089199999</v>
      </c>
      <c r="H13" s="97">
        <f>SUM(H5:H12)</f>
        <v>1415.1817096800003</v>
      </c>
      <c r="I13" s="97">
        <f>SUM(I5:I12)</f>
        <v>3774.0600089000004</v>
      </c>
      <c r="J13" s="97">
        <f>SUM(J5:J12)</f>
        <v>1205.607905072</v>
      </c>
      <c r="K13" s="67">
        <f>SUM(K5:K12)</f>
        <v>511.95779999999991</v>
      </c>
      <c r="L13" s="316"/>
      <c r="M13" s="316"/>
      <c r="N13" s="316"/>
      <c r="O13" s="316"/>
      <c r="P13" s="316"/>
      <c r="Q13" s="316"/>
    </row>
  </sheetData>
  <mergeCells count="13">
    <mergeCell ref="B13:E13"/>
    <mergeCell ref="L13:Q13"/>
    <mergeCell ref="B10:E10"/>
    <mergeCell ref="B8:E8"/>
    <mergeCell ref="B9:E9"/>
    <mergeCell ref="B11:E11"/>
    <mergeCell ref="L11:Q11"/>
    <mergeCell ref="B12:E12"/>
    <mergeCell ref="A1:K1"/>
    <mergeCell ref="B4:E4"/>
    <mergeCell ref="B5:E5"/>
    <mergeCell ref="B6:E6"/>
    <mergeCell ref="B7:E7"/>
  </mergeCells>
  <pageMargins left="0.97" right="0.16" top="0.42" bottom="1" header="0.28999999999999998" footer="0.5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D387"/>
  <sheetViews>
    <sheetView workbookViewId="0">
      <selection activeCell="S376" sqref="S376"/>
    </sheetView>
  </sheetViews>
  <sheetFormatPr defaultRowHeight="15.75"/>
  <cols>
    <col min="1" max="1" width="4.140625" style="8" customWidth="1"/>
    <col min="2" max="2" width="12.42578125" style="8" customWidth="1"/>
    <col min="3" max="3" width="3.85546875" style="8" customWidth="1"/>
    <col min="4" max="4" width="2.28515625" style="8" customWidth="1"/>
    <col min="5" max="5" width="6.85546875" style="8" customWidth="1"/>
    <col min="6" max="6" width="3.42578125" style="8" customWidth="1"/>
    <col min="7" max="7" width="6.5703125" style="8" customWidth="1"/>
    <col min="8" max="8" width="3" style="8" customWidth="1"/>
    <col min="9" max="9" width="6" style="8" customWidth="1"/>
    <col min="10" max="10" width="4" style="8" customWidth="1"/>
    <col min="11" max="11" width="10.28515625" style="8" customWidth="1"/>
    <col min="12" max="12" width="10.140625" style="8" customWidth="1"/>
    <col min="13" max="13" width="8" style="8" customWidth="1"/>
    <col min="14" max="14" width="4.28515625" style="8" customWidth="1"/>
    <col min="15" max="15" width="9.140625" style="8"/>
    <col min="16" max="16" width="2" style="8" customWidth="1"/>
    <col min="17" max="17" width="9.140625" style="8" customWidth="1"/>
    <col min="18" max="18" width="5.5703125" style="8" customWidth="1"/>
    <col min="19" max="19" width="3.28515625" style="8" customWidth="1"/>
    <col min="20" max="20" width="6.140625" style="8" customWidth="1"/>
    <col min="21" max="21" width="2.5703125" style="8" customWidth="1"/>
    <col min="22" max="22" width="6.7109375" style="8" customWidth="1"/>
    <col min="23" max="23" width="3.7109375" style="8" customWidth="1"/>
    <col min="24" max="24" width="7.5703125" style="8" customWidth="1"/>
    <col min="25" max="34" width="9.140625" style="8" customWidth="1"/>
    <col min="35" max="16384" width="9.140625" style="8"/>
  </cols>
  <sheetData>
    <row r="1" spans="1:17" ht="3.75" customHeight="1">
      <c r="A1" s="321" t="e">
        <f>#REF!</f>
        <v>#REF!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</row>
    <row r="2" spans="1:17" ht="15" customHeight="1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</row>
    <row r="3" spans="1:17" ht="15" customHeight="1">
      <c r="A3" s="8">
        <v>1</v>
      </c>
      <c r="B3" s="8" t="s">
        <v>121</v>
      </c>
      <c r="O3" s="98"/>
    </row>
    <row r="4" spans="1:17" ht="15" customHeight="1">
      <c r="B4" s="8" t="s">
        <v>122</v>
      </c>
      <c r="O4" s="98"/>
    </row>
    <row r="5" spans="1:17" ht="15" customHeight="1">
      <c r="B5" s="8" t="s">
        <v>123</v>
      </c>
      <c r="O5" s="98"/>
    </row>
    <row r="6" spans="1:17" ht="15" customHeight="1">
      <c r="B6" s="8" t="s">
        <v>124</v>
      </c>
      <c r="C6" s="8">
        <v>1</v>
      </c>
      <c r="D6" s="8" t="s">
        <v>4</v>
      </c>
      <c r="E6" s="66">
        <v>12.62</v>
      </c>
      <c r="F6" s="66" t="s">
        <v>4</v>
      </c>
      <c r="G6" s="66">
        <v>2</v>
      </c>
      <c r="H6" s="66" t="s">
        <v>4</v>
      </c>
      <c r="I6" s="66">
        <v>1.75</v>
      </c>
      <c r="J6" s="66" t="s">
        <v>5</v>
      </c>
      <c r="K6" s="66">
        <f>I6*G6*E6*C6</f>
        <v>44.169999999999995</v>
      </c>
      <c r="L6" s="105" t="s">
        <v>37</v>
      </c>
      <c r="O6" s="98" t="s">
        <v>26</v>
      </c>
      <c r="P6" s="8" t="s">
        <v>26</v>
      </c>
      <c r="Q6" s="8" t="s">
        <v>26</v>
      </c>
    </row>
    <row r="7" spans="1:17" ht="15" customHeight="1">
      <c r="C7" s="8">
        <v>2</v>
      </c>
      <c r="D7" s="8" t="s">
        <v>4</v>
      </c>
      <c r="E7" s="66">
        <v>14.75</v>
      </c>
      <c r="F7" s="66" t="s">
        <v>4</v>
      </c>
      <c r="G7" s="66">
        <v>2</v>
      </c>
      <c r="H7" s="66" t="s">
        <v>4</v>
      </c>
      <c r="I7" s="66">
        <v>1.75</v>
      </c>
      <c r="J7" s="66" t="s">
        <v>5</v>
      </c>
      <c r="K7" s="66">
        <f t="shared" ref="K7:K16" si="0">I7*G7*E7*C7</f>
        <v>103.25</v>
      </c>
      <c r="L7" s="105" t="s">
        <v>37</v>
      </c>
      <c r="O7" s="98"/>
    </row>
    <row r="8" spans="1:17" ht="15" customHeight="1">
      <c r="C8" s="8">
        <v>1</v>
      </c>
      <c r="D8" s="8" t="s">
        <v>4</v>
      </c>
      <c r="E8" s="66">
        <v>21.5</v>
      </c>
      <c r="F8" s="66" t="s">
        <v>4</v>
      </c>
      <c r="G8" s="66">
        <v>2</v>
      </c>
      <c r="H8" s="66" t="s">
        <v>4</v>
      </c>
      <c r="I8" s="66">
        <v>1.75</v>
      </c>
      <c r="J8" s="66" t="s">
        <v>5</v>
      </c>
      <c r="K8" s="66">
        <f t="shared" si="0"/>
        <v>75.25</v>
      </c>
      <c r="L8" s="105" t="s">
        <v>37</v>
      </c>
      <c r="O8" s="98"/>
    </row>
    <row r="9" spans="1:17" ht="15" customHeight="1">
      <c r="C9" s="8">
        <v>1</v>
      </c>
      <c r="D9" s="8" t="s">
        <v>4</v>
      </c>
      <c r="E9" s="66">
        <v>21.87</v>
      </c>
      <c r="F9" s="66" t="s">
        <v>4</v>
      </c>
      <c r="G9" s="66">
        <v>1.5</v>
      </c>
      <c r="H9" s="66"/>
      <c r="I9" s="66"/>
      <c r="J9" s="66" t="s">
        <v>5</v>
      </c>
      <c r="K9" s="66">
        <f>G9*E9*C9</f>
        <v>32.805</v>
      </c>
      <c r="L9" s="105" t="s">
        <v>37</v>
      </c>
      <c r="O9" s="98"/>
    </row>
    <row r="10" spans="1:17" ht="15" customHeight="1">
      <c r="C10" s="8">
        <v>1</v>
      </c>
      <c r="D10" s="8" t="s">
        <v>4</v>
      </c>
      <c r="E10" s="66">
        <v>21.5</v>
      </c>
      <c r="F10" s="66" t="s">
        <v>4</v>
      </c>
      <c r="G10" s="66">
        <v>2</v>
      </c>
      <c r="H10" s="66" t="s">
        <v>4</v>
      </c>
      <c r="I10" s="66">
        <v>1.75</v>
      </c>
      <c r="J10" s="66" t="s">
        <v>5</v>
      </c>
      <c r="K10" s="66">
        <f t="shared" si="0"/>
        <v>75.25</v>
      </c>
      <c r="L10" s="105" t="s">
        <v>37</v>
      </c>
      <c r="O10" s="98"/>
    </row>
    <row r="11" spans="1:17" ht="15" customHeight="1">
      <c r="B11" s="8" t="s">
        <v>337</v>
      </c>
      <c r="C11" s="8">
        <v>2</v>
      </c>
      <c r="D11" s="8" t="s">
        <v>4</v>
      </c>
      <c r="E11" s="66">
        <v>8.93</v>
      </c>
      <c r="F11" s="66" t="s">
        <v>4</v>
      </c>
      <c r="G11" s="66">
        <v>2</v>
      </c>
      <c r="H11" s="66" t="s">
        <v>4</v>
      </c>
      <c r="I11" s="66">
        <v>1.75</v>
      </c>
      <c r="J11" s="66" t="s">
        <v>5</v>
      </c>
      <c r="K11" s="66">
        <f t="shared" si="0"/>
        <v>62.51</v>
      </c>
      <c r="L11" s="105" t="s">
        <v>37</v>
      </c>
      <c r="O11" s="98" t="s">
        <v>26</v>
      </c>
      <c r="P11" s="8" t="s">
        <v>26</v>
      </c>
      <c r="Q11" s="8" t="s">
        <v>26</v>
      </c>
    </row>
    <row r="12" spans="1:17" ht="15" customHeight="1">
      <c r="C12" s="8">
        <v>2</v>
      </c>
      <c r="D12" s="8" t="s">
        <v>4</v>
      </c>
      <c r="E12" s="66">
        <v>9.1300000000000008</v>
      </c>
      <c r="F12" s="66" t="s">
        <v>4</v>
      </c>
      <c r="G12" s="66">
        <v>2</v>
      </c>
      <c r="H12" s="66" t="s">
        <v>4</v>
      </c>
      <c r="I12" s="66">
        <v>1.75</v>
      </c>
      <c r="J12" s="66" t="s">
        <v>5</v>
      </c>
      <c r="K12" s="66">
        <f t="shared" si="0"/>
        <v>63.910000000000004</v>
      </c>
      <c r="L12" s="105" t="s">
        <v>37</v>
      </c>
      <c r="O12" s="98"/>
    </row>
    <row r="13" spans="1:17" ht="15" customHeight="1">
      <c r="C13" s="8">
        <v>4</v>
      </c>
      <c r="D13" s="8" t="s">
        <v>4</v>
      </c>
      <c r="E13" s="66">
        <v>2.75</v>
      </c>
      <c r="F13" s="66" t="s">
        <v>4</v>
      </c>
      <c r="G13" s="66">
        <v>2</v>
      </c>
      <c r="H13" s="66" t="s">
        <v>4</v>
      </c>
      <c r="I13" s="66">
        <v>1.75</v>
      </c>
      <c r="J13" s="66" t="s">
        <v>5</v>
      </c>
      <c r="K13" s="66">
        <f t="shared" si="0"/>
        <v>38.5</v>
      </c>
      <c r="L13" s="105" t="s">
        <v>37</v>
      </c>
      <c r="O13" s="98"/>
    </row>
    <row r="14" spans="1:17" ht="15" customHeight="1">
      <c r="C14" s="8">
        <v>1</v>
      </c>
      <c r="D14" s="8" t="s">
        <v>4</v>
      </c>
      <c r="E14" s="66">
        <v>15.5</v>
      </c>
      <c r="F14" s="66" t="s">
        <v>4</v>
      </c>
      <c r="G14" s="66">
        <v>1.5</v>
      </c>
      <c r="H14" s="66" t="s">
        <v>4</v>
      </c>
      <c r="I14" s="66">
        <v>1</v>
      </c>
      <c r="J14" s="66" t="s">
        <v>5</v>
      </c>
      <c r="K14" s="66">
        <f t="shared" si="0"/>
        <v>23.25</v>
      </c>
      <c r="L14" s="105" t="s">
        <v>37</v>
      </c>
      <c r="O14" s="98"/>
    </row>
    <row r="15" spans="1:17" ht="15" customHeight="1">
      <c r="C15" s="8">
        <v>1</v>
      </c>
      <c r="D15" s="8" t="s">
        <v>4</v>
      </c>
      <c r="E15" s="66">
        <v>4.5</v>
      </c>
      <c r="F15" s="66" t="s">
        <v>4</v>
      </c>
      <c r="G15" s="66">
        <v>2.21</v>
      </c>
      <c r="H15" s="66" t="s">
        <v>4</v>
      </c>
      <c r="I15" s="66">
        <v>0.5</v>
      </c>
      <c r="J15" s="66" t="s">
        <v>5</v>
      </c>
      <c r="K15" s="66">
        <f t="shared" si="0"/>
        <v>4.9725000000000001</v>
      </c>
      <c r="L15" s="105" t="s">
        <v>37</v>
      </c>
      <c r="O15" s="98"/>
    </row>
    <row r="16" spans="1:17" ht="15" customHeight="1">
      <c r="A16" s="8" t="s">
        <v>26</v>
      </c>
      <c r="B16" s="8" t="s">
        <v>127</v>
      </c>
      <c r="C16" s="8">
        <v>1</v>
      </c>
      <c r="D16" s="8" t="s">
        <v>4</v>
      </c>
      <c r="E16" s="66">
        <v>4.5</v>
      </c>
      <c r="F16" s="66" t="s">
        <v>4</v>
      </c>
      <c r="G16" s="66">
        <v>1.25</v>
      </c>
      <c r="H16" s="66" t="s">
        <v>4</v>
      </c>
      <c r="I16" s="66">
        <v>0.5</v>
      </c>
      <c r="J16" s="66" t="s">
        <v>5</v>
      </c>
      <c r="K16" s="66">
        <f t="shared" si="0"/>
        <v>2.8125</v>
      </c>
      <c r="L16" s="105" t="s">
        <v>37</v>
      </c>
      <c r="O16" s="98"/>
    </row>
    <row r="17" spans="1:17" ht="15" customHeight="1">
      <c r="E17" s="66"/>
      <c r="F17" s="66"/>
      <c r="G17" s="66"/>
      <c r="H17" s="66"/>
      <c r="I17" s="66"/>
      <c r="J17" s="66"/>
      <c r="K17" s="100">
        <f>SUM(K6:K16)</f>
        <v>526.67999999999995</v>
      </c>
      <c r="L17" s="172" t="s">
        <v>37</v>
      </c>
      <c r="O17" s="98"/>
    </row>
    <row r="18" spans="1:17" ht="15" customHeight="1">
      <c r="B18" s="102">
        <f>K17</f>
        <v>526.67999999999995</v>
      </c>
      <c r="C18" s="103" t="str">
        <f>L17</f>
        <v>Cft.</v>
      </c>
      <c r="D18" s="103"/>
      <c r="E18" s="102"/>
      <c r="F18" s="66"/>
      <c r="G18" s="66"/>
      <c r="H18" s="66"/>
      <c r="I18" s="66"/>
      <c r="J18" s="66"/>
      <c r="K18" s="108" t="s">
        <v>32</v>
      </c>
      <c r="L18" s="105">
        <v>3176.25</v>
      </c>
      <c r="M18" s="8" t="s">
        <v>105</v>
      </c>
      <c r="N18" s="8" t="s">
        <v>31</v>
      </c>
      <c r="O18" s="106">
        <f>B18*L18/1000</f>
        <v>1672.8673499999998</v>
      </c>
    </row>
    <row r="19" spans="1:17" ht="15" customHeight="1">
      <c r="E19" s="66"/>
      <c r="F19" s="66"/>
      <c r="G19" s="66"/>
      <c r="H19" s="66"/>
      <c r="I19" s="66"/>
      <c r="J19" s="66"/>
      <c r="K19" s="100"/>
      <c r="L19" s="105"/>
      <c r="O19" s="106"/>
    </row>
    <row r="20" spans="1:17" ht="15" customHeight="1">
      <c r="A20" s="8">
        <v>2</v>
      </c>
      <c r="B20" s="8" t="s">
        <v>128</v>
      </c>
      <c r="E20" s="66"/>
      <c r="F20" s="66"/>
      <c r="G20" s="66"/>
      <c r="H20" s="66"/>
      <c r="I20" s="66"/>
      <c r="J20" s="66"/>
      <c r="K20" s="66"/>
      <c r="L20" s="105"/>
      <c r="O20" s="106"/>
    </row>
    <row r="21" spans="1:17" ht="15" customHeight="1">
      <c r="B21" s="8" t="s">
        <v>129</v>
      </c>
      <c r="E21" s="66"/>
      <c r="F21" s="66"/>
      <c r="G21" s="66"/>
      <c r="H21" s="66"/>
      <c r="I21" s="66"/>
      <c r="J21" s="66"/>
      <c r="K21" s="66"/>
      <c r="L21" s="105"/>
      <c r="O21" s="106"/>
    </row>
    <row r="22" spans="1:17" ht="15" customHeight="1">
      <c r="B22" s="8" t="s">
        <v>124</v>
      </c>
      <c r="C22" s="8">
        <v>1</v>
      </c>
      <c r="D22" s="8" t="s">
        <v>4</v>
      </c>
      <c r="E22" s="66">
        <v>12.62</v>
      </c>
      <c r="F22" s="66" t="s">
        <v>4</v>
      </c>
      <c r="G22" s="66">
        <v>2</v>
      </c>
      <c r="H22" s="66" t="s">
        <v>4</v>
      </c>
      <c r="I22" s="66">
        <v>0.75</v>
      </c>
      <c r="J22" s="66" t="s">
        <v>5</v>
      </c>
      <c r="K22" s="66">
        <f t="shared" ref="K22:K33" si="1">I22*G22*E22*C22</f>
        <v>18.93</v>
      </c>
      <c r="L22" s="105" t="s">
        <v>37</v>
      </c>
      <c r="O22" s="98" t="s">
        <v>26</v>
      </c>
      <c r="P22" s="8" t="s">
        <v>26</v>
      </c>
      <c r="Q22" s="8" t="s">
        <v>26</v>
      </c>
    </row>
    <row r="23" spans="1:17" ht="15" customHeight="1">
      <c r="C23" s="8">
        <v>2</v>
      </c>
      <c r="D23" s="8" t="s">
        <v>4</v>
      </c>
      <c r="E23" s="66">
        <v>14.75</v>
      </c>
      <c r="F23" s="66" t="s">
        <v>4</v>
      </c>
      <c r="G23" s="66">
        <v>2</v>
      </c>
      <c r="H23" s="66" t="s">
        <v>4</v>
      </c>
      <c r="I23" s="66">
        <f>I22</f>
        <v>0.75</v>
      </c>
      <c r="J23" s="66" t="s">
        <v>5</v>
      </c>
      <c r="K23" s="66">
        <f t="shared" si="1"/>
        <v>44.25</v>
      </c>
      <c r="L23" s="105" t="s">
        <v>37</v>
      </c>
      <c r="O23" s="98"/>
    </row>
    <row r="24" spans="1:17" ht="15" customHeight="1">
      <c r="C24" s="8">
        <v>1</v>
      </c>
      <c r="D24" s="8" t="s">
        <v>4</v>
      </c>
      <c r="E24" s="66">
        <v>21.5</v>
      </c>
      <c r="F24" s="66" t="s">
        <v>4</v>
      </c>
      <c r="G24" s="66">
        <v>2</v>
      </c>
      <c r="H24" s="66" t="s">
        <v>4</v>
      </c>
      <c r="I24" s="66">
        <f>I23</f>
        <v>0.75</v>
      </c>
      <c r="J24" s="66" t="s">
        <v>5</v>
      </c>
      <c r="K24" s="66">
        <f t="shared" si="1"/>
        <v>32.25</v>
      </c>
      <c r="L24" s="105" t="s">
        <v>37</v>
      </c>
      <c r="O24" s="98"/>
    </row>
    <row r="25" spans="1:17" ht="15" customHeight="1">
      <c r="C25" s="8">
        <v>1</v>
      </c>
      <c r="D25" s="8" t="s">
        <v>4</v>
      </c>
      <c r="E25" s="66">
        <v>21.5</v>
      </c>
      <c r="F25" s="66" t="s">
        <v>4</v>
      </c>
      <c r="G25" s="66">
        <v>2</v>
      </c>
      <c r="H25" s="66"/>
      <c r="I25" s="66">
        <v>0.75</v>
      </c>
      <c r="J25" s="66" t="s">
        <v>5</v>
      </c>
      <c r="K25" s="66">
        <f t="shared" si="1"/>
        <v>32.25</v>
      </c>
      <c r="L25" s="105" t="s">
        <v>37</v>
      </c>
      <c r="O25" s="98"/>
    </row>
    <row r="26" spans="1:17" ht="15" customHeight="1">
      <c r="C26" s="8">
        <v>1</v>
      </c>
      <c r="D26" s="8" t="s">
        <v>4</v>
      </c>
      <c r="E26" s="66">
        <v>21.5</v>
      </c>
      <c r="F26" s="66" t="s">
        <v>4</v>
      </c>
      <c r="G26" s="66">
        <v>2</v>
      </c>
      <c r="H26" s="66" t="s">
        <v>4</v>
      </c>
      <c r="I26" s="66">
        <v>0.75</v>
      </c>
      <c r="J26" s="66" t="s">
        <v>5</v>
      </c>
      <c r="K26" s="66">
        <f t="shared" si="1"/>
        <v>32.25</v>
      </c>
      <c r="L26" s="105" t="s">
        <v>37</v>
      </c>
      <c r="O26" s="98"/>
    </row>
    <row r="27" spans="1:17" ht="15" customHeight="1">
      <c r="C27" s="8">
        <v>1</v>
      </c>
      <c r="D27" s="8" t="s">
        <v>4</v>
      </c>
      <c r="E27" s="66">
        <v>21.37</v>
      </c>
      <c r="F27" s="66" t="s">
        <v>4</v>
      </c>
      <c r="G27" s="66">
        <v>1.5</v>
      </c>
      <c r="H27" s="66" t="s">
        <v>4</v>
      </c>
      <c r="I27" s="66">
        <v>0.5</v>
      </c>
      <c r="J27" s="66" t="s">
        <v>5</v>
      </c>
      <c r="K27" s="66">
        <f t="shared" si="1"/>
        <v>16.0275</v>
      </c>
      <c r="L27" s="105" t="s">
        <v>37</v>
      </c>
      <c r="O27" s="98"/>
    </row>
    <row r="28" spans="1:17" ht="15" customHeight="1">
      <c r="B28" s="8" t="s">
        <v>337</v>
      </c>
      <c r="C28" s="8">
        <v>2</v>
      </c>
      <c r="D28" s="8" t="s">
        <v>4</v>
      </c>
      <c r="E28" s="66">
        <v>8.93</v>
      </c>
      <c r="F28" s="66" t="s">
        <v>4</v>
      </c>
      <c r="G28" s="66">
        <v>2</v>
      </c>
      <c r="H28" s="66" t="s">
        <v>4</v>
      </c>
      <c r="I28" s="66">
        <v>0.75</v>
      </c>
      <c r="J28" s="66" t="s">
        <v>5</v>
      </c>
      <c r="K28" s="66">
        <f t="shared" si="1"/>
        <v>26.79</v>
      </c>
      <c r="L28" s="105" t="s">
        <v>37</v>
      </c>
      <c r="O28" s="98" t="s">
        <v>26</v>
      </c>
      <c r="P28" s="8" t="s">
        <v>26</v>
      </c>
      <c r="Q28" s="8" t="s">
        <v>26</v>
      </c>
    </row>
    <row r="29" spans="1:17" ht="15" customHeight="1">
      <c r="C29" s="8">
        <v>2</v>
      </c>
      <c r="D29" s="8" t="s">
        <v>4</v>
      </c>
      <c r="E29" s="66">
        <v>9.1300000000000008</v>
      </c>
      <c r="F29" s="66" t="s">
        <v>4</v>
      </c>
      <c r="G29" s="66">
        <v>2</v>
      </c>
      <c r="H29" s="66" t="s">
        <v>4</v>
      </c>
      <c r="I29" s="66">
        <v>0.75</v>
      </c>
      <c r="J29" s="66" t="s">
        <v>5</v>
      </c>
      <c r="K29" s="66">
        <f t="shared" si="1"/>
        <v>27.39</v>
      </c>
      <c r="L29" s="105" t="s">
        <v>37</v>
      </c>
      <c r="O29" s="98"/>
    </row>
    <row r="30" spans="1:17" ht="15" customHeight="1">
      <c r="C30" s="8">
        <v>4</v>
      </c>
      <c r="D30" s="8" t="s">
        <v>4</v>
      </c>
      <c r="E30" s="66">
        <v>2.75</v>
      </c>
      <c r="F30" s="66" t="s">
        <v>4</v>
      </c>
      <c r="G30" s="66">
        <v>2</v>
      </c>
      <c r="H30" s="66" t="s">
        <v>4</v>
      </c>
      <c r="I30" s="66">
        <v>0.75</v>
      </c>
      <c r="J30" s="66" t="s">
        <v>5</v>
      </c>
      <c r="K30" s="66">
        <f t="shared" si="1"/>
        <v>16.5</v>
      </c>
      <c r="L30" s="105" t="s">
        <v>37</v>
      </c>
      <c r="O30" s="98"/>
    </row>
    <row r="31" spans="1:17" ht="15" customHeight="1">
      <c r="C31" s="8">
        <v>1</v>
      </c>
      <c r="D31" s="8" t="s">
        <v>4</v>
      </c>
      <c r="E31" s="66">
        <v>15.75</v>
      </c>
      <c r="F31" s="66" t="s">
        <v>4</v>
      </c>
      <c r="G31" s="66">
        <v>1.5</v>
      </c>
      <c r="H31" s="66" t="s">
        <v>4</v>
      </c>
      <c r="I31" s="66">
        <v>0.5</v>
      </c>
      <c r="J31" s="66" t="s">
        <v>5</v>
      </c>
      <c r="K31" s="66">
        <f t="shared" si="1"/>
        <v>11.8125</v>
      </c>
      <c r="L31" s="105" t="s">
        <v>37</v>
      </c>
      <c r="O31" s="98"/>
    </row>
    <row r="32" spans="1:17" ht="15" customHeight="1">
      <c r="C32" s="8">
        <v>1</v>
      </c>
      <c r="D32" s="8" t="s">
        <v>4</v>
      </c>
      <c r="E32" s="66">
        <v>4.5</v>
      </c>
      <c r="F32" s="66" t="s">
        <v>4</v>
      </c>
      <c r="G32" s="66">
        <v>2.25</v>
      </c>
      <c r="H32" s="66" t="s">
        <v>4</v>
      </c>
      <c r="I32" s="66">
        <v>0.5</v>
      </c>
      <c r="J32" s="66" t="s">
        <v>5</v>
      </c>
      <c r="K32" s="66">
        <f t="shared" si="1"/>
        <v>5.0625</v>
      </c>
      <c r="L32" s="105" t="s">
        <v>37</v>
      </c>
      <c r="O32" s="98"/>
    </row>
    <row r="33" spans="1:17" ht="15" customHeight="1">
      <c r="A33" s="8" t="s">
        <v>26</v>
      </c>
      <c r="B33" s="8" t="s">
        <v>127</v>
      </c>
      <c r="C33" s="8">
        <v>1</v>
      </c>
      <c r="D33" s="8" t="s">
        <v>4</v>
      </c>
      <c r="E33" s="66">
        <v>4.5</v>
      </c>
      <c r="F33" s="66" t="s">
        <v>4</v>
      </c>
      <c r="G33" s="66">
        <v>1.25</v>
      </c>
      <c r="H33" s="66" t="s">
        <v>4</v>
      </c>
      <c r="I33" s="66">
        <v>0.5</v>
      </c>
      <c r="J33" s="66" t="s">
        <v>5</v>
      </c>
      <c r="K33" s="66">
        <f t="shared" si="1"/>
        <v>2.8125</v>
      </c>
      <c r="L33" s="105" t="s">
        <v>37</v>
      </c>
      <c r="O33" s="98"/>
    </row>
    <row r="34" spans="1:17" ht="15" customHeight="1">
      <c r="E34" s="66"/>
      <c r="F34" s="66"/>
      <c r="G34" s="66"/>
      <c r="H34" s="66"/>
      <c r="I34" s="66"/>
      <c r="J34" s="66"/>
      <c r="K34" s="100">
        <f>SUM(K22:K33)</f>
        <v>266.32499999999999</v>
      </c>
      <c r="L34" s="172" t="s">
        <v>37</v>
      </c>
      <c r="O34" s="98"/>
    </row>
    <row r="35" spans="1:17" ht="15" customHeight="1">
      <c r="B35" s="102">
        <f>K34</f>
        <v>266.32499999999999</v>
      </c>
      <c r="C35" s="103" t="s">
        <v>8</v>
      </c>
      <c r="D35" s="103"/>
      <c r="E35" s="102"/>
      <c r="F35" s="66"/>
      <c r="G35" s="66"/>
      <c r="H35" s="66"/>
      <c r="I35" s="66"/>
      <c r="J35" s="66"/>
      <c r="K35" s="108" t="str">
        <f>K18</f>
        <v xml:space="preserve"> @Rs:</v>
      </c>
      <c r="L35" s="105">
        <v>9416.2800000000007</v>
      </c>
      <c r="M35" s="8" t="s">
        <v>14</v>
      </c>
      <c r="N35" s="8" t="s">
        <v>31</v>
      </c>
      <c r="O35" s="106">
        <f>B35*L35/100</f>
        <v>25077.907710000003</v>
      </c>
    </row>
    <row r="36" spans="1:17" ht="15" customHeight="1">
      <c r="E36" s="66"/>
      <c r="F36" s="66"/>
      <c r="G36" s="66"/>
      <c r="H36" s="66"/>
      <c r="I36" s="66"/>
      <c r="J36" s="66"/>
      <c r="K36" s="66"/>
      <c r="L36" s="105"/>
      <c r="O36" s="106"/>
    </row>
    <row r="37" spans="1:17" ht="15" customHeight="1">
      <c r="A37" s="8">
        <v>3</v>
      </c>
      <c r="B37" s="8" t="s">
        <v>130</v>
      </c>
      <c r="E37" s="66"/>
      <c r="F37" s="66"/>
      <c r="G37" s="66"/>
      <c r="H37" s="66"/>
      <c r="I37" s="66"/>
      <c r="J37" s="66"/>
      <c r="K37" s="66"/>
      <c r="L37" s="105"/>
      <c r="O37" s="106"/>
    </row>
    <row r="38" spans="1:17" ht="15" customHeight="1">
      <c r="B38" s="8" t="s">
        <v>131</v>
      </c>
      <c r="E38" s="66"/>
      <c r="F38" s="66"/>
      <c r="G38" s="66"/>
      <c r="H38" s="66"/>
      <c r="I38" s="66"/>
      <c r="J38" s="66"/>
      <c r="K38" s="66"/>
      <c r="L38" s="105"/>
      <c r="O38" s="106"/>
    </row>
    <row r="39" spans="1:17" ht="15" customHeight="1">
      <c r="B39" s="8" t="s">
        <v>132</v>
      </c>
      <c r="E39" s="66"/>
      <c r="F39" s="66"/>
      <c r="G39" s="66"/>
      <c r="H39" s="66"/>
      <c r="I39" s="66"/>
      <c r="J39" s="66"/>
      <c r="K39" s="66"/>
      <c r="L39" s="105"/>
      <c r="O39" s="106"/>
    </row>
    <row r="40" spans="1:17" ht="15" customHeight="1">
      <c r="B40" s="8" t="s">
        <v>124</v>
      </c>
      <c r="C40" s="8">
        <v>1</v>
      </c>
      <c r="D40" s="8" t="s">
        <v>4</v>
      </c>
      <c r="E40" s="66">
        <v>12.21</v>
      </c>
      <c r="F40" s="66" t="s">
        <v>4</v>
      </c>
      <c r="G40" s="66">
        <v>1</v>
      </c>
      <c r="H40" s="66" t="s">
        <v>4</v>
      </c>
      <c r="I40" s="66">
        <v>2.5</v>
      </c>
      <c r="J40" s="66" t="s">
        <v>5</v>
      </c>
      <c r="K40" s="66">
        <f t="shared" ref="K40:K51" si="2">I40*G40*E40*C40</f>
        <v>30.525000000000002</v>
      </c>
      <c r="L40" s="105" t="s">
        <v>37</v>
      </c>
      <c r="O40" s="98" t="s">
        <v>26</v>
      </c>
      <c r="P40" s="8" t="s">
        <v>26</v>
      </c>
      <c r="Q40" s="8" t="s">
        <v>26</v>
      </c>
    </row>
    <row r="41" spans="1:17" ht="15" customHeight="1">
      <c r="C41" s="8">
        <v>2</v>
      </c>
      <c r="D41" s="8" t="s">
        <v>4</v>
      </c>
      <c r="E41" s="66">
        <v>13.87</v>
      </c>
      <c r="F41" s="66" t="s">
        <v>4</v>
      </c>
      <c r="G41" s="66">
        <v>1</v>
      </c>
      <c r="H41" s="66" t="s">
        <v>4</v>
      </c>
      <c r="I41" s="66">
        <f>I40</f>
        <v>2.5</v>
      </c>
      <c r="J41" s="66" t="s">
        <v>5</v>
      </c>
      <c r="K41" s="66">
        <f t="shared" si="2"/>
        <v>69.349999999999994</v>
      </c>
      <c r="L41" s="105" t="s">
        <v>37</v>
      </c>
      <c r="O41" s="98"/>
    </row>
    <row r="42" spans="1:17" ht="15" customHeight="1">
      <c r="C42" s="8">
        <v>1</v>
      </c>
      <c r="D42" s="8" t="s">
        <v>4</v>
      </c>
      <c r="E42" s="66">
        <v>21.5</v>
      </c>
      <c r="F42" s="66" t="s">
        <v>4</v>
      </c>
      <c r="G42" s="66">
        <v>1</v>
      </c>
      <c r="H42" s="66" t="s">
        <v>4</v>
      </c>
      <c r="I42" s="66">
        <f>I41</f>
        <v>2.5</v>
      </c>
      <c r="J42" s="66" t="s">
        <v>5</v>
      </c>
      <c r="K42" s="66">
        <f t="shared" si="2"/>
        <v>53.75</v>
      </c>
      <c r="L42" s="105" t="s">
        <v>37</v>
      </c>
      <c r="O42" s="98"/>
    </row>
    <row r="43" spans="1:17" ht="15" customHeight="1">
      <c r="C43" s="8">
        <v>1</v>
      </c>
      <c r="D43" s="8" t="s">
        <v>4</v>
      </c>
      <c r="E43" s="66">
        <v>21.72</v>
      </c>
      <c r="F43" s="66" t="s">
        <v>4</v>
      </c>
      <c r="G43" s="66">
        <v>1</v>
      </c>
      <c r="H43" s="66"/>
      <c r="I43" s="66">
        <v>1.5</v>
      </c>
      <c r="J43" s="66" t="s">
        <v>5</v>
      </c>
      <c r="K43" s="66">
        <f t="shared" si="2"/>
        <v>32.58</v>
      </c>
      <c r="L43" s="105" t="s">
        <v>37</v>
      </c>
      <c r="O43" s="98"/>
    </row>
    <row r="44" spans="1:17" ht="15" customHeight="1">
      <c r="C44" s="8">
        <v>1</v>
      </c>
      <c r="D44" s="8" t="s">
        <v>4</v>
      </c>
      <c r="E44" s="66">
        <v>21.5</v>
      </c>
      <c r="F44" s="66" t="s">
        <v>4</v>
      </c>
      <c r="G44" s="66">
        <v>1</v>
      </c>
      <c r="H44" s="66" t="s">
        <v>4</v>
      </c>
      <c r="I44" s="66">
        <v>2.5</v>
      </c>
      <c r="J44" s="66" t="s">
        <v>5</v>
      </c>
      <c r="K44" s="66">
        <f t="shared" si="2"/>
        <v>53.75</v>
      </c>
      <c r="L44" s="105" t="s">
        <v>37</v>
      </c>
      <c r="O44" s="98"/>
    </row>
    <row r="45" spans="1:17" ht="15" customHeight="1">
      <c r="B45" s="8" t="s">
        <v>337</v>
      </c>
      <c r="C45" s="8">
        <v>2</v>
      </c>
      <c r="D45" s="8" t="s">
        <v>4</v>
      </c>
      <c r="E45" s="66">
        <v>9.6199999999999992</v>
      </c>
      <c r="F45" s="66" t="s">
        <v>4</v>
      </c>
      <c r="G45" s="66">
        <v>1</v>
      </c>
      <c r="H45" s="66" t="s">
        <v>4</v>
      </c>
      <c r="I45" s="66">
        <v>2.5</v>
      </c>
      <c r="J45" s="66" t="s">
        <v>5</v>
      </c>
      <c r="K45" s="66">
        <f t="shared" si="2"/>
        <v>48.099999999999994</v>
      </c>
      <c r="L45" s="105" t="s">
        <v>37</v>
      </c>
      <c r="O45" s="98" t="s">
        <v>26</v>
      </c>
      <c r="P45" s="8" t="s">
        <v>26</v>
      </c>
      <c r="Q45" s="8" t="s">
        <v>26</v>
      </c>
    </row>
    <row r="46" spans="1:17" ht="15" customHeight="1">
      <c r="C46" s="8">
        <v>2</v>
      </c>
      <c r="D46" s="8" t="s">
        <v>4</v>
      </c>
      <c r="E46" s="66">
        <v>9.3699999999999992</v>
      </c>
      <c r="F46" s="66" t="s">
        <v>4</v>
      </c>
      <c r="G46" s="66">
        <v>1</v>
      </c>
      <c r="H46" s="66" t="s">
        <v>4</v>
      </c>
      <c r="I46" s="66">
        <v>2.5</v>
      </c>
      <c r="J46" s="66" t="s">
        <v>5</v>
      </c>
      <c r="K46" s="66">
        <f t="shared" si="2"/>
        <v>46.849999999999994</v>
      </c>
      <c r="L46" s="105" t="s">
        <v>37</v>
      </c>
      <c r="O46" s="98"/>
    </row>
    <row r="47" spans="1:17" ht="15" customHeight="1">
      <c r="C47" s="8">
        <v>1</v>
      </c>
      <c r="D47" s="8" t="s">
        <v>4</v>
      </c>
      <c r="E47" s="66">
        <v>16.37</v>
      </c>
      <c r="F47" s="66" t="s">
        <v>4</v>
      </c>
      <c r="G47" s="66">
        <v>1</v>
      </c>
      <c r="H47" s="66" t="s">
        <v>4</v>
      </c>
      <c r="I47" s="66">
        <v>1.5</v>
      </c>
      <c r="J47" s="66" t="s">
        <v>5</v>
      </c>
      <c r="K47" s="66">
        <f t="shared" si="2"/>
        <v>24.555</v>
      </c>
      <c r="L47" s="105" t="s">
        <v>37</v>
      </c>
      <c r="O47" s="98" t="s">
        <v>26</v>
      </c>
      <c r="P47" s="8" t="s">
        <v>26</v>
      </c>
      <c r="Q47" s="8" t="s">
        <v>26</v>
      </c>
    </row>
    <row r="48" spans="1:17" ht="15" customHeight="1">
      <c r="C48" s="8">
        <v>1</v>
      </c>
      <c r="D48" s="8" t="s">
        <v>4</v>
      </c>
      <c r="E48" s="66">
        <v>16.37</v>
      </c>
      <c r="F48" s="66" t="s">
        <v>4</v>
      </c>
      <c r="G48" s="66">
        <v>1</v>
      </c>
      <c r="H48" s="66" t="s">
        <v>4</v>
      </c>
      <c r="I48" s="66">
        <v>1.5</v>
      </c>
      <c r="J48" s="66" t="s">
        <v>5</v>
      </c>
      <c r="K48" s="66">
        <f t="shared" si="2"/>
        <v>24.555</v>
      </c>
      <c r="L48" s="105" t="s">
        <v>37</v>
      </c>
      <c r="O48" s="98"/>
    </row>
    <row r="49" spans="1:30" ht="15" customHeight="1">
      <c r="C49" s="8">
        <v>1</v>
      </c>
      <c r="D49" s="8" t="s">
        <v>4</v>
      </c>
      <c r="E49" s="66">
        <v>4</v>
      </c>
      <c r="F49" s="66" t="s">
        <v>4</v>
      </c>
      <c r="G49" s="66">
        <v>3</v>
      </c>
      <c r="H49" s="66" t="s">
        <v>4</v>
      </c>
      <c r="I49" s="66">
        <v>0.5</v>
      </c>
      <c r="J49" s="66" t="s">
        <v>5</v>
      </c>
      <c r="K49" s="66">
        <f t="shared" si="2"/>
        <v>6</v>
      </c>
      <c r="L49" s="105" t="s">
        <v>37</v>
      </c>
      <c r="O49" s="98"/>
    </row>
    <row r="50" spans="1:30" ht="15" customHeight="1">
      <c r="C50" s="8">
        <v>1</v>
      </c>
      <c r="D50" s="8" t="s">
        <v>4</v>
      </c>
      <c r="E50" s="66">
        <v>4</v>
      </c>
      <c r="F50" s="66" t="s">
        <v>4</v>
      </c>
      <c r="G50" s="66">
        <v>2</v>
      </c>
      <c r="H50" s="66" t="s">
        <v>4</v>
      </c>
      <c r="I50" s="66">
        <v>0.5</v>
      </c>
      <c r="J50" s="66" t="s">
        <v>5</v>
      </c>
      <c r="K50" s="66">
        <f t="shared" si="2"/>
        <v>4</v>
      </c>
      <c r="L50" s="105" t="s">
        <v>37</v>
      </c>
      <c r="O50" s="98"/>
    </row>
    <row r="51" spans="1:30" ht="15" customHeight="1">
      <c r="C51" s="8">
        <v>1</v>
      </c>
      <c r="D51" s="8" t="s">
        <v>4</v>
      </c>
      <c r="E51" s="66">
        <v>4</v>
      </c>
      <c r="F51" s="66" t="s">
        <v>4</v>
      </c>
      <c r="G51" s="66">
        <v>1</v>
      </c>
      <c r="H51" s="66" t="s">
        <v>4</v>
      </c>
      <c r="I51" s="66">
        <v>0.5</v>
      </c>
      <c r="J51" s="66" t="s">
        <v>5</v>
      </c>
      <c r="K51" s="66">
        <f t="shared" si="2"/>
        <v>2</v>
      </c>
      <c r="L51" s="105" t="s">
        <v>37</v>
      </c>
      <c r="O51" s="98"/>
    </row>
    <row r="52" spans="1:30" ht="15" customHeight="1">
      <c r="E52" s="66"/>
      <c r="F52" s="66"/>
      <c r="G52" s="66"/>
      <c r="H52" s="66"/>
      <c r="I52" s="66"/>
      <c r="J52" s="66"/>
      <c r="K52" s="100">
        <f>SUM(K40:K51)</f>
        <v>396.01499999999999</v>
      </c>
      <c r="L52" s="172" t="s">
        <v>37</v>
      </c>
      <c r="O52" s="98"/>
    </row>
    <row r="53" spans="1:30" ht="15" customHeight="1">
      <c r="B53" s="102">
        <f>K52</f>
        <v>396.01499999999999</v>
      </c>
      <c r="C53" s="103" t="s">
        <v>8</v>
      </c>
      <c r="D53" s="103"/>
      <c r="E53" s="102"/>
      <c r="F53" s="66"/>
      <c r="G53" s="66"/>
      <c r="H53" s="66"/>
      <c r="I53" s="66"/>
      <c r="J53" s="66"/>
      <c r="K53" s="108" t="str">
        <f>K35</f>
        <v xml:space="preserve"> @Rs:</v>
      </c>
      <c r="L53" s="105">
        <v>12595</v>
      </c>
      <c r="M53" s="8" t="s">
        <v>14</v>
      </c>
      <c r="N53" s="8" t="s">
        <v>31</v>
      </c>
      <c r="O53" s="106">
        <f>B53*L53/100</f>
        <v>49878.089249999997</v>
      </c>
      <c r="AD53" s="8">
        <v>26701</v>
      </c>
    </row>
    <row r="54" spans="1:30" ht="15" customHeight="1">
      <c r="E54" s="66"/>
      <c r="F54" s="66"/>
      <c r="G54" s="66"/>
      <c r="H54" s="66"/>
      <c r="I54" s="66"/>
      <c r="J54" s="66"/>
      <c r="K54" s="108"/>
      <c r="L54" s="105"/>
      <c r="O54" s="106"/>
    </row>
    <row r="55" spans="1:30" ht="15" customHeight="1">
      <c r="A55" s="8">
        <v>4</v>
      </c>
      <c r="B55" s="8" t="s">
        <v>133</v>
      </c>
      <c r="E55" s="66"/>
      <c r="F55" s="66"/>
      <c r="G55" s="66"/>
      <c r="H55" s="66"/>
      <c r="I55" s="66"/>
      <c r="J55" s="66"/>
      <c r="K55" s="66"/>
      <c r="L55" s="105"/>
      <c r="O55" s="106"/>
    </row>
    <row r="56" spans="1:30" ht="15" customHeight="1">
      <c r="B56" s="8" t="s">
        <v>134</v>
      </c>
      <c r="E56" s="66"/>
      <c r="F56" s="66"/>
      <c r="G56" s="66"/>
      <c r="H56" s="66"/>
      <c r="I56" s="66"/>
      <c r="J56" s="66"/>
      <c r="K56" s="66"/>
      <c r="L56" s="105"/>
      <c r="O56" s="106"/>
    </row>
    <row r="57" spans="1:30" ht="15" customHeight="1">
      <c r="B57" s="8" t="s">
        <v>124</v>
      </c>
      <c r="C57" s="8">
        <v>1</v>
      </c>
      <c r="D57" s="8" t="s">
        <v>4</v>
      </c>
      <c r="E57" s="66">
        <v>2</v>
      </c>
      <c r="F57" s="66" t="s">
        <v>4</v>
      </c>
      <c r="G57" s="66">
        <v>12.21</v>
      </c>
      <c r="H57" s="66" t="s">
        <v>4</v>
      </c>
      <c r="I57" s="66">
        <v>2.5</v>
      </c>
      <c r="J57" s="66" t="s">
        <v>5</v>
      </c>
      <c r="K57" s="66">
        <f t="shared" ref="K57:K67" si="3">I57*G57*E57*C57</f>
        <v>61.050000000000004</v>
      </c>
      <c r="L57" s="105" t="s">
        <v>10</v>
      </c>
      <c r="O57" s="98" t="s">
        <v>26</v>
      </c>
      <c r="P57" s="8" t="s">
        <v>26</v>
      </c>
      <c r="Q57" s="8" t="s">
        <v>26</v>
      </c>
    </row>
    <row r="58" spans="1:30" ht="15" customHeight="1">
      <c r="C58" s="8">
        <v>2</v>
      </c>
      <c r="D58" s="8" t="s">
        <v>4</v>
      </c>
      <c r="E58" s="66">
        <v>2</v>
      </c>
      <c r="F58" s="66" t="s">
        <v>4</v>
      </c>
      <c r="G58" s="66">
        <v>13.87</v>
      </c>
      <c r="H58" s="66" t="s">
        <v>4</v>
      </c>
      <c r="I58" s="66">
        <f>I57</f>
        <v>2.5</v>
      </c>
      <c r="J58" s="66" t="s">
        <v>5</v>
      </c>
      <c r="K58" s="66">
        <f t="shared" si="3"/>
        <v>138.69999999999999</v>
      </c>
      <c r="L58" s="105" t="s">
        <v>10</v>
      </c>
      <c r="O58" s="98"/>
    </row>
    <row r="59" spans="1:30" ht="15" customHeight="1">
      <c r="C59" s="8">
        <v>1</v>
      </c>
      <c r="D59" s="8" t="s">
        <v>4</v>
      </c>
      <c r="E59" s="66">
        <v>2</v>
      </c>
      <c r="F59" s="66" t="s">
        <v>4</v>
      </c>
      <c r="G59" s="66">
        <v>21.5</v>
      </c>
      <c r="H59" s="66" t="s">
        <v>4</v>
      </c>
      <c r="I59" s="66">
        <f>I58</f>
        <v>2.5</v>
      </c>
      <c r="J59" s="66" t="s">
        <v>5</v>
      </c>
      <c r="K59" s="66">
        <f t="shared" si="3"/>
        <v>107.5</v>
      </c>
      <c r="L59" s="105" t="s">
        <v>10</v>
      </c>
      <c r="O59" s="98"/>
    </row>
    <row r="60" spans="1:30" ht="15" customHeight="1">
      <c r="C60" s="8">
        <v>1</v>
      </c>
      <c r="D60" s="8" t="s">
        <v>4</v>
      </c>
      <c r="E60" s="66">
        <v>2</v>
      </c>
      <c r="F60" s="66" t="s">
        <v>4</v>
      </c>
      <c r="G60" s="66">
        <v>21.72</v>
      </c>
      <c r="H60" s="66"/>
      <c r="I60" s="66">
        <v>1.5</v>
      </c>
      <c r="J60" s="66" t="s">
        <v>5</v>
      </c>
      <c r="K60" s="66">
        <f t="shared" si="3"/>
        <v>65.16</v>
      </c>
      <c r="L60" s="105" t="s">
        <v>10</v>
      </c>
      <c r="O60" s="98"/>
    </row>
    <row r="61" spans="1:30" ht="15" customHeight="1">
      <c r="C61" s="8">
        <v>1</v>
      </c>
      <c r="D61" s="8" t="s">
        <v>4</v>
      </c>
      <c r="E61" s="66">
        <v>2</v>
      </c>
      <c r="F61" s="66" t="s">
        <v>4</v>
      </c>
      <c r="G61" s="66">
        <v>21.5</v>
      </c>
      <c r="H61" s="66" t="s">
        <v>4</v>
      </c>
      <c r="I61" s="66">
        <v>2.5</v>
      </c>
      <c r="J61" s="66" t="s">
        <v>5</v>
      </c>
      <c r="K61" s="66">
        <f t="shared" si="3"/>
        <v>107.5</v>
      </c>
      <c r="L61" s="105" t="s">
        <v>10</v>
      </c>
      <c r="O61" s="98"/>
    </row>
    <row r="62" spans="1:30" ht="15" customHeight="1">
      <c r="B62" s="8" t="s">
        <v>337</v>
      </c>
      <c r="C62" s="8">
        <v>2</v>
      </c>
      <c r="D62" s="8" t="s">
        <v>4</v>
      </c>
      <c r="E62" s="66">
        <v>2</v>
      </c>
      <c r="F62" s="66" t="s">
        <v>4</v>
      </c>
      <c r="G62" s="66">
        <v>9.6199999999999992</v>
      </c>
      <c r="H62" s="66" t="s">
        <v>4</v>
      </c>
      <c r="I62" s="66">
        <v>2.5</v>
      </c>
      <c r="J62" s="66" t="s">
        <v>5</v>
      </c>
      <c r="K62" s="66">
        <f t="shared" si="3"/>
        <v>96.199999999999989</v>
      </c>
      <c r="L62" s="105" t="s">
        <v>10</v>
      </c>
      <c r="O62" s="98" t="s">
        <v>26</v>
      </c>
      <c r="P62" s="8" t="s">
        <v>26</v>
      </c>
      <c r="Q62" s="8" t="s">
        <v>26</v>
      </c>
    </row>
    <row r="63" spans="1:30" ht="15" customHeight="1">
      <c r="C63" s="8">
        <v>2</v>
      </c>
      <c r="D63" s="8" t="s">
        <v>4</v>
      </c>
      <c r="E63" s="66">
        <v>2</v>
      </c>
      <c r="F63" s="66" t="s">
        <v>4</v>
      </c>
      <c r="G63" s="66">
        <v>9.3699999999999992</v>
      </c>
      <c r="H63" s="66" t="s">
        <v>4</v>
      </c>
      <c r="I63" s="66">
        <v>2.5</v>
      </c>
      <c r="J63" s="66" t="s">
        <v>5</v>
      </c>
      <c r="K63" s="66">
        <f t="shared" si="3"/>
        <v>93.699999999999989</v>
      </c>
      <c r="L63" s="105" t="s">
        <v>10</v>
      </c>
      <c r="O63" s="98"/>
    </row>
    <row r="64" spans="1:30" ht="15" customHeight="1">
      <c r="C64" s="8">
        <v>1</v>
      </c>
      <c r="D64" s="8" t="s">
        <v>4</v>
      </c>
      <c r="E64" s="66">
        <v>2</v>
      </c>
      <c r="F64" s="66" t="s">
        <v>4</v>
      </c>
      <c r="G64" s="66">
        <v>16.37</v>
      </c>
      <c r="H64" s="66" t="s">
        <v>4</v>
      </c>
      <c r="I64" s="66">
        <v>1.5</v>
      </c>
      <c r="J64" s="66" t="s">
        <v>5</v>
      </c>
      <c r="K64" s="66">
        <f t="shared" si="3"/>
        <v>49.11</v>
      </c>
      <c r="L64" s="105" t="s">
        <v>10</v>
      </c>
      <c r="O64" s="98"/>
    </row>
    <row r="65" spans="1:30" ht="15" customHeight="1">
      <c r="C65" s="8">
        <v>1</v>
      </c>
      <c r="D65" s="8" t="s">
        <v>4</v>
      </c>
      <c r="E65" s="66">
        <v>2</v>
      </c>
      <c r="F65" s="66" t="s">
        <v>4</v>
      </c>
      <c r="G65" s="66">
        <v>16.37</v>
      </c>
      <c r="H65" s="66" t="s">
        <v>4</v>
      </c>
      <c r="I65" s="66">
        <v>1.5</v>
      </c>
      <c r="J65" s="66" t="s">
        <v>5</v>
      </c>
      <c r="K65" s="66">
        <f t="shared" si="3"/>
        <v>49.11</v>
      </c>
      <c r="L65" s="105" t="s">
        <v>10</v>
      </c>
      <c r="O65" s="98"/>
    </row>
    <row r="66" spans="1:30" ht="15" customHeight="1">
      <c r="C66" s="8">
        <v>1</v>
      </c>
      <c r="D66" s="8" t="s">
        <v>4</v>
      </c>
      <c r="E66" s="66">
        <v>2</v>
      </c>
      <c r="F66" s="66" t="s">
        <v>4</v>
      </c>
      <c r="G66" s="66">
        <v>4</v>
      </c>
      <c r="H66" s="66" t="s">
        <v>4</v>
      </c>
      <c r="I66" s="66">
        <v>0.5</v>
      </c>
      <c r="J66" s="66" t="s">
        <v>5</v>
      </c>
      <c r="K66" s="66">
        <f t="shared" si="3"/>
        <v>4</v>
      </c>
      <c r="L66" s="105" t="s">
        <v>10</v>
      </c>
      <c r="O66" s="98"/>
    </row>
    <row r="67" spans="1:30" ht="15" customHeight="1">
      <c r="C67" s="8">
        <v>1</v>
      </c>
      <c r="D67" s="8" t="s">
        <v>4</v>
      </c>
      <c r="E67" s="66">
        <v>2</v>
      </c>
      <c r="F67" s="66" t="s">
        <v>4</v>
      </c>
      <c r="G67" s="66">
        <v>4</v>
      </c>
      <c r="H67" s="66" t="s">
        <v>4</v>
      </c>
      <c r="I67" s="66">
        <v>0.5</v>
      </c>
      <c r="J67" s="66" t="s">
        <v>5</v>
      </c>
      <c r="K67" s="66">
        <f t="shared" si="3"/>
        <v>4</v>
      </c>
      <c r="L67" s="105" t="s">
        <v>10</v>
      </c>
      <c r="O67" s="98"/>
    </row>
    <row r="68" spans="1:30" ht="15" customHeight="1">
      <c r="E68" s="66"/>
      <c r="F68" s="66"/>
      <c r="G68" s="66"/>
      <c r="H68" s="66"/>
      <c r="I68" s="66"/>
      <c r="J68" s="66"/>
      <c r="K68" s="100">
        <f>SUM(K57:K67)</f>
        <v>776.03</v>
      </c>
      <c r="L68" s="105" t="s">
        <v>10</v>
      </c>
      <c r="O68" s="98"/>
    </row>
    <row r="69" spans="1:30" ht="15" customHeight="1">
      <c r="B69" s="102">
        <f>K68</f>
        <v>776.03</v>
      </c>
      <c r="C69" s="103" t="str">
        <f>L68</f>
        <v>Sft</v>
      </c>
      <c r="D69" s="103"/>
      <c r="E69" s="102"/>
      <c r="F69" s="66"/>
      <c r="G69" s="66"/>
      <c r="H69" s="66"/>
      <c r="I69" s="66"/>
      <c r="J69" s="66"/>
      <c r="K69" s="108" t="str">
        <f>K53</f>
        <v xml:space="preserve"> @Rs:</v>
      </c>
      <c r="L69" s="105">
        <v>3127.41</v>
      </c>
      <c r="M69" s="8" t="s">
        <v>9</v>
      </c>
      <c r="N69" s="8" t="s">
        <v>7</v>
      </c>
      <c r="O69" s="106">
        <f>B69*L69/100</f>
        <v>24269.639822999998</v>
      </c>
      <c r="AD69" s="8">
        <v>13229</v>
      </c>
    </row>
    <row r="70" spans="1:30" ht="15" customHeight="1">
      <c r="B70" s="111"/>
      <c r="C70" s="112"/>
      <c r="D70" s="112"/>
      <c r="E70" s="111"/>
      <c r="F70" s="66"/>
      <c r="G70" s="66"/>
      <c r="H70" s="66"/>
      <c r="I70" s="66"/>
      <c r="J70" s="66"/>
      <c r="K70" s="108"/>
      <c r="L70" s="105"/>
      <c r="O70" s="106"/>
    </row>
    <row r="71" spans="1:30" ht="15" customHeight="1">
      <c r="A71" s="8">
        <v>5</v>
      </c>
      <c r="B71" s="105" t="s">
        <v>136</v>
      </c>
      <c r="C71" s="112"/>
      <c r="D71" s="112"/>
      <c r="E71" s="111"/>
      <c r="F71" s="66"/>
      <c r="G71" s="66"/>
      <c r="H71" s="66"/>
      <c r="I71" s="66"/>
      <c r="J71" s="66"/>
      <c r="K71" s="108"/>
      <c r="L71" s="105"/>
      <c r="O71" s="106"/>
    </row>
    <row r="72" spans="1:30" ht="15" customHeight="1">
      <c r="B72" s="105" t="s">
        <v>137</v>
      </c>
      <c r="C72" s="112"/>
      <c r="D72" s="112"/>
      <c r="E72" s="111"/>
      <c r="F72" s="66"/>
      <c r="G72" s="66"/>
      <c r="H72" s="66"/>
      <c r="I72" s="66"/>
      <c r="J72" s="66"/>
      <c r="K72" s="108"/>
      <c r="L72" s="105"/>
      <c r="O72" s="106"/>
    </row>
    <row r="73" spans="1:30" ht="15" customHeight="1">
      <c r="C73" s="8">
        <v>1</v>
      </c>
      <c r="D73" s="8" t="s">
        <v>4</v>
      </c>
      <c r="E73" s="66">
        <v>9.6199999999999992</v>
      </c>
      <c r="F73" s="66" t="s">
        <v>4</v>
      </c>
      <c r="G73" s="66">
        <v>6.62</v>
      </c>
      <c r="H73" s="66" t="s">
        <v>4</v>
      </c>
      <c r="I73" s="66">
        <v>1</v>
      </c>
      <c r="J73" s="66" t="s">
        <v>5</v>
      </c>
      <c r="K73" s="66">
        <f t="shared" ref="K73:K80" si="4">I73*G73*E73*C73</f>
        <v>63.684399999999997</v>
      </c>
      <c r="L73" s="105" t="s">
        <v>37</v>
      </c>
      <c r="O73" s="98" t="s">
        <v>26</v>
      </c>
      <c r="P73" s="8" t="s">
        <v>26</v>
      </c>
      <c r="Q73" s="8" t="s">
        <v>26</v>
      </c>
    </row>
    <row r="74" spans="1:30" ht="15" customHeight="1">
      <c r="C74" s="8">
        <v>1</v>
      </c>
      <c r="D74" s="8" t="s">
        <v>4</v>
      </c>
      <c r="E74" s="66">
        <v>9.6199999999999992</v>
      </c>
      <c r="F74" s="66" t="s">
        <v>4</v>
      </c>
      <c r="G74" s="66">
        <v>11.62</v>
      </c>
      <c r="H74" s="66" t="s">
        <v>4</v>
      </c>
      <c r="I74" s="66">
        <f>I73</f>
        <v>1</v>
      </c>
      <c r="J74" s="66" t="s">
        <v>5</v>
      </c>
      <c r="K74" s="66">
        <f t="shared" si="4"/>
        <v>111.78439999999998</v>
      </c>
      <c r="L74" s="105" t="s">
        <v>37</v>
      </c>
      <c r="O74" s="98"/>
    </row>
    <row r="75" spans="1:30" ht="15" customHeight="1">
      <c r="C75" s="8">
        <v>1</v>
      </c>
      <c r="D75" s="8" t="s">
        <v>4</v>
      </c>
      <c r="E75" s="66">
        <v>4.62</v>
      </c>
      <c r="F75" s="66" t="s">
        <v>4</v>
      </c>
      <c r="G75" s="66">
        <v>6.62</v>
      </c>
      <c r="H75" s="66" t="s">
        <v>4</v>
      </c>
      <c r="I75" s="66">
        <f>I74</f>
        <v>1</v>
      </c>
      <c r="J75" s="66" t="s">
        <v>5</v>
      </c>
      <c r="K75" s="66">
        <f t="shared" si="4"/>
        <v>30.584400000000002</v>
      </c>
      <c r="L75" s="105" t="s">
        <v>37</v>
      </c>
      <c r="O75" s="98"/>
    </row>
    <row r="76" spans="1:30" ht="15" customHeight="1">
      <c r="C76" s="8">
        <v>1</v>
      </c>
      <c r="D76" s="8" t="s">
        <v>4</v>
      </c>
      <c r="E76" s="66">
        <v>3.62</v>
      </c>
      <c r="F76" s="66" t="s">
        <v>4</v>
      </c>
      <c r="G76" s="66">
        <v>3.45</v>
      </c>
      <c r="H76" s="66"/>
      <c r="I76" s="66">
        <v>1</v>
      </c>
      <c r="J76" s="66" t="s">
        <v>5</v>
      </c>
      <c r="K76" s="66">
        <f t="shared" si="4"/>
        <v>12.489000000000001</v>
      </c>
      <c r="L76" s="105" t="s">
        <v>37</v>
      </c>
      <c r="O76" s="98"/>
    </row>
    <row r="77" spans="1:30" ht="15" customHeight="1">
      <c r="C77" s="8">
        <v>1</v>
      </c>
      <c r="D77" s="8" t="s">
        <v>4</v>
      </c>
      <c r="E77" s="66">
        <v>3.62</v>
      </c>
      <c r="F77" s="66" t="s">
        <v>4</v>
      </c>
      <c r="G77" s="66">
        <v>2.93</v>
      </c>
      <c r="H77" s="66" t="s">
        <v>4</v>
      </c>
      <c r="I77" s="66">
        <v>1</v>
      </c>
      <c r="J77" s="66" t="s">
        <v>5</v>
      </c>
      <c r="K77" s="66">
        <f t="shared" si="4"/>
        <v>10.6066</v>
      </c>
      <c r="L77" s="105" t="s">
        <v>37</v>
      </c>
      <c r="O77" s="98"/>
    </row>
    <row r="78" spans="1:30" ht="15" customHeight="1">
      <c r="C78" s="8">
        <v>1</v>
      </c>
      <c r="D78" s="8" t="s">
        <v>4</v>
      </c>
      <c r="E78" s="66">
        <v>20.38</v>
      </c>
      <c r="F78" s="66" t="s">
        <v>4</v>
      </c>
      <c r="G78" s="66">
        <v>16.38</v>
      </c>
      <c r="H78" s="66" t="s">
        <v>4</v>
      </c>
      <c r="I78" s="66">
        <v>0.62</v>
      </c>
      <c r="J78" s="66" t="s">
        <v>5</v>
      </c>
      <c r="K78" s="66">
        <f t="shared" si="4"/>
        <v>206.97112799999999</v>
      </c>
      <c r="L78" s="105" t="s">
        <v>37</v>
      </c>
      <c r="O78" s="98"/>
    </row>
    <row r="79" spans="1:30" ht="15" customHeight="1">
      <c r="C79" s="8">
        <v>1</v>
      </c>
      <c r="D79" s="8" t="s">
        <v>4</v>
      </c>
      <c r="E79" s="66">
        <v>9.6199999999999992</v>
      </c>
      <c r="F79" s="66" t="s">
        <v>4</v>
      </c>
      <c r="G79" s="66">
        <v>3.31</v>
      </c>
      <c r="H79" s="66" t="s">
        <v>4</v>
      </c>
      <c r="I79" s="66">
        <v>0.62</v>
      </c>
      <c r="J79" s="66" t="s">
        <v>5</v>
      </c>
      <c r="K79" s="66">
        <f t="shared" si="4"/>
        <v>19.742163999999999</v>
      </c>
      <c r="L79" s="105" t="s">
        <v>37</v>
      </c>
      <c r="O79" s="98" t="s">
        <v>26</v>
      </c>
      <c r="P79" s="8" t="s">
        <v>26</v>
      </c>
      <c r="Q79" s="8" t="s">
        <v>26</v>
      </c>
    </row>
    <row r="80" spans="1:30" ht="15" customHeight="1">
      <c r="C80" s="8">
        <v>1</v>
      </c>
      <c r="D80" s="8" t="s">
        <v>4</v>
      </c>
      <c r="E80" s="66">
        <v>4</v>
      </c>
      <c r="F80" s="66" t="s">
        <v>4</v>
      </c>
      <c r="G80" s="66">
        <v>4</v>
      </c>
      <c r="H80" s="66" t="s">
        <v>4</v>
      </c>
      <c r="I80" s="66">
        <v>0.62</v>
      </c>
      <c r="J80" s="66" t="s">
        <v>5</v>
      </c>
      <c r="K80" s="66">
        <f t="shared" si="4"/>
        <v>9.92</v>
      </c>
      <c r="L80" s="105" t="s">
        <v>37</v>
      </c>
      <c r="O80" s="98"/>
    </row>
    <row r="81" spans="1:30" ht="15" customHeight="1">
      <c r="E81" s="66"/>
      <c r="F81" s="66"/>
      <c r="G81" s="66"/>
      <c r="H81" s="66"/>
      <c r="I81" s="66"/>
      <c r="J81" s="66"/>
      <c r="K81" s="100">
        <f>SUM(K73:K80)</f>
        <v>465.78209199999998</v>
      </c>
      <c r="L81" s="172" t="s">
        <v>37</v>
      </c>
      <c r="O81" s="98"/>
    </row>
    <row r="82" spans="1:30" ht="15" customHeight="1">
      <c r="B82" s="102">
        <f>K81</f>
        <v>465.78209199999998</v>
      </c>
      <c r="C82" s="102" t="s">
        <v>8</v>
      </c>
      <c r="D82" s="102"/>
      <c r="E82" s="102"/>
      <c r="F82" s="66"/>
      <c r="G82" s="66"/>
      <c r="H82" s="66"/>
      <c r="I82" s="66"/>
      <c r="J82" s="66"/>
      <c r="K82" s="108" t="str">
        <f>K69</f>
        <v xml:space="preserve"> @Rs:</v>
      </c>
      <c r="L82" s="105">
        <v>3630</v>
      </c>
      <c r="M82" s="8" t="s">
        <v>3</v>
      </c>
      <c r="N82" s="8" t="s">
        <v>31</v>
      </c>
      <c r="O82" s="106">
        <f>B82*L82/1000</f>
        <v>1690.78899396</v>
      </c>
      <c r="AD82" s="8">
        <v>1249</v>
      </c>
    </row>
    <row r="83" spans="1:30" ht="15" customHeight="1">
      <c r="B83" s="114"/>
      <c r="C83" s="113"/>
      <c r="D83" s="113"/>
      <c r="E83" s="114"/>
      <c r="F83" s="66"/>
      <c r="G83" s="66"/>
      <c r="H83" s="66"/>
      <c r="I83" s="66"/>
      <c r="J83" s="66"/>
      <c r="K83" s="108"/>
      <c r="L83" s="105"/>
      <c r="O83" s="106"/>
    </row>
    <row r="84" spans="1:30" ht="15" customHeight="1">
      <c r="A84" s="8">
        <v>6</v>
      </c>
      <c r="B84" s="8" t="s">
        <v>138</v>
      </c>
      <c r="E84" s="66"/>
      <c r="F84" s="66"/>
      <c r="G84" s="66"/>
      <c r="H84" s="66"/>
      <c r="I84" s="66"/>
      <c r="J84" s="66"/>
      <c r="K84" s="66"/>
      <c r="L84" s="105"/>
      <c r="O84" s="106"/>
    </row>
    <row r="85" spans="1:30" ht="15" customHeight="1">
      <c r="B85" s="8" t="s">
        <v>139</v>
      </c>
      <c r="E85" s="66"/>
      <c r="F85" s="66"/>
      <c r="G85" s="66"/>
      <c r="H85" s="66"/>
      <c r="I85" s="66"/>
      <c r="J85" s="66"/>
      <c r="K85" s="66"/>
      <c r="L85" s="105"/>
      <c r="O85" s="106"/>
    </row>
    <row r="86" spans="1:30" ht="15" customHeight="1">
      <c r="B86" s="8" t="s">
        <v>124</v>
      </c>
      <c r="C86" s="8">
        <v>1</v>
      </c>
      <c r="D86" s="8" t="s">
        <v>4</v>
      </c>
      <c r="E86" s="66">
        <v>12</v>
      </c>
      <c r="F86" s="66" t="s">
        <v>4</v>
      </c>
      <c r="G86" s="66">
        <v>0.75</v>
      </c>
      <c r="H86" s="66" t="s">
        <v>4</v>
      </c>
      <c r="I86" s="66">
        <v>9.6199999999999992</v>
      </c>
      <c r="J86" s="66" t="s">
        <v>5</v>
      </c>
      <c r="K86" s="66">
        <f t="shared" ref="K86:K100" si="5">I86*G86*E86*C86</f>
        <v>86.58</v>
      </c>
      <c r="L86" s="105" t="s">
        <v>37</v>
      </c>
      <c r="O86" s="98" t="s">
        <v>26</v>
      </c>
      <c r="P86" s="8" t="s">
        <v>26</v>
      </c>
      <c r="Q86" s="8" t="s">
        <v>26</v>
      </c>
    </row>
    <row r="87" spans="1:30" ht="15" customHeight="1">
      <c r="C87" s="8">
        <v>2</v>
      </c>
      <c r="D87" s="8" t="s">
        <v>4</v>
      </c>
      <c r="E87" s="66">
        <v>13.5</v>
      </c>
      <c r="F87" s="66" t="s">
        <v>4</v>
      </c>
      <c r="G87" s="66">
        <v>0.75</v>
      </c>
      <c r="H87" s="66" t="s">
        <v>4</v>
      </c>
      <c r="I87" s="66">
        <v>11.62</v>
      </c>
      <c r="J87" s="66" t="s">
        <v>5</v>
      </c>
      <c r="K87" s="66">
        <f t="shared" si="5"/>
        <v>235.30500000000001</v>
      </c>
      <c r="L87" s="105" t="s">
        <v>37</v>
      </c>
      <c r="O87" s="98"/>
    </row>
    <row r="88" spans="1:30" ht="15" customHeight="1">
      <c r="C88" s="8">
        <v>1</v>
      </c>
      <c r="D88" s="8" t="s">
        <v>4</v>
      </c>
      <c r="E88" s="66">
        <v>7.75</v>
      </c>
      <c r="F88" s="66" t="s">
        <v>4</v>
      </c>
      <c r="G88" s="66">
        <v>0.75</v>
      </c>
      <c r="H88" s="66" t="s">
        <v>4</v>
      </c>
      <c r="I88" s="66">
        <v>9.6199999999999992</v>
      </c>
      <c r="J88" s="66" t="s">
        <v>5</v>
      </c>
      <c r="K88" s="66">
        <f t="shared" si="5"/>
        <v>55.916249999999998</v>
      </c>
      <c r="L88" s="105" t="s">
        <v>37</v>
      </c>
      <c r="O88" s="98"/>
    </row>
    <row r="89" spans="1:30" ht="15" customHeight="1">
      <c r="C89" s="8">
        <v>1</v>
      </c>
      <c r="D89" s="8" t="s">
        <v>4</v>
      </c>
      <c r="E89" s="66">
        <v>9.3800000000000008</v>
      </c>
      <c r="F89" s="66" t="s">
        <v>4</v>
      </c>
      <c r="G89" s="66">
        <v>0.75</v>
      </c>
      <c r="H89" s="66"/>
      <c r="I89" s="66">
        <v>9.6199999999999992</v>
      </c>
      <c r="J89" s="66" t="s">
        <v>5</v>
      </c>
      <c r="K89" s="66">
        <f t="shared" si="5"/>
        <v>67.676700000000011</v>
      </c>
      <c r="L89" s="105" t="s">
        <v>37</v>
      </c>
      <c r="O89" s="98"/>
    </row>
    <row r="90" spans="1:30" ht="15" customHeight="1">
      <c r="C90" s="8">
        <v>1</v>
      </c>
      <c r="D90" s="8" t="s">
        <v>4</v>
      </c>
      <c r="E90" s="66">
        <v>4.3499999999999996</v>
      </c>
      <c r="F90" s="66" t="s">
        <v>4</v>
      </c>
      <c r="G90" s="66">
        <v>0.75</v>
      </c>
      <c r="H90" s="66" t="s">
        <v>4</v>
      </c>
      <c r="I90" s="66">
        <v>7.5</v>
      </c>
      <c r="J90" s="66" t="s">
        <v>5</v>
      </c>
      <c r="K90" s="66">
        <f t="shared" si="5"/>
        <v>24.468749999999996</v>
      </c>
      <c r="L90" s="105" t="s">
        <v>37</v>
      </c>
      <c r="O90" s="98"/>
    </row>
    <row r="91" spans="1:30" ht="15" customHeight="1">
      <c r="C91" s="8">
        <v>3</v>
      </c>
      <c r="D91" s="8" t="s">
        <v>4</v>
      </c>
      <c r="E91" s="66">
        <v>0.75</v>
      </c>
      <c r="F91" s="66" t="s">
        <v>4</v>
      </c>
      <c r="G91" s="66">
        <v>0.75</v>
      </c>
      <c r="H91" s="66" t="s">
        <v>4</v>
      </c>
      <c r="I91" s="66">
        <v>7.5</v>
      </c>
      <c r="J91" s="66" t="s">
        <v>5</v>
      </c>
      <c r="K91" s="66">
        <f t="shared" si="5"/>
        <v>12.65625</v>
      </c>
      <c r="L91" s="105" t="s">
        <v>37</v>
      </c>
      <c r="O91" s="98"/>
    </row>
    <row r="92" spans="1:30" ht="15" customHeight="1">
      <c r="C92" s="8">
        <v>3</v>
      </c>
      <c r="D92" s="8" t="s">
        <v>4</v>
      </c>
      <c r="E92" s="66">
        <v>6.16</v>
      </c>
      <c r="F92" s="66" t="s">
        <v>4</v>
      </c>
      <c r="G92" s="66">
        <v>0.37</v>
      </c>
      <c r="H92" s="66" t="s">
        <v>4</v>
      </c>
      <c r="I92" s="66">
        <v>7.5</v>
      </c>
      <c r="J92" s="66" t="s">
        <v>5</v>
      </c>
      <c r="K92" s="66">
        <f t="shared" si="5"/>
        <v>51.282000000000004</v>
      </c>
      <c r="L92" s="105" t="s">
        <v>37</v>
      </c>
      <c r="O92" s="98"/>
    </row>
    <row r="93" spans="1:30" ht="15" customHeight="1">
      <c r="C93" s="8">
        <v>1</v>
      </c>
      <c r="D93" s="8" t="s">
        <v>4</v>
      </c>
      <c r="E93" s="66">
        <v>7.75</v>
      </c>
      <c r="F93" s="66" t="s">
        <v>4</v>
      </c>
      <c r="G93" s="66">
        <v>0.75</v>
      </c>
      <c r="H93" s="66"/>
      <c r="I93" s="66">
        <v>9.6199999999999992</v>
      </c>
      <c r="J93" s="66" t="s">
        <v>5</v>
      </c>
      <c r="K93" s="66">
        <f t="shared" si="5"/>
        <v>55.916249999999998</v>
      </c>
      <c r="L93" s="105" t="s">
        <v>37</v>
      </c>
      <c r="O93" s="98"/>
    </row>
    <row r="94" spans="1:30" ht="15" customHeight="1">
      <c r="C94" s="8">
        <v>1</v>
      </c>
      <c r="D94" s="8" t="s">
        <v>4</v>
      </c>
      <c r="E94" s="66">
        <v>9.3800000000000008</v>
      </c>
      <c r="F94" s="66" t="s">
        <v>4</v>
      </c>
      <c r="G94" s="66">
        <v>0.75</v>
      </c>
      <c r="H94" s="66" t="s">
        <v>4</v>
      </c>
      <c r="I94" s="66">
        <v>9.6199999999999992</v>
      </c>
      <c r="J94" s="66" t="s">
        <v>5</v>
      </c>
      <c r="K94" s="66">
        <f t="shared" si="5"/>
        <v>67.676700000000011</v>
      </c>
      <c r="L94" s="105" t="s">
        <v>37</v>
      </c>
      <c r="O94" s="98"/>
    </row>
    <row r="95" spans="1:30" ht="15" customHeight="1">
      <c r="B95" s="8" t="s">
        <v>337</v>
      </c>
      <c r="C95" s="8">
        <v>2</v>
      </c>
      <c r="D95" s="8" t="s">
        <v>4</v>
      </c>
      <c r="E95" s="66">
        <v>10</v>
      </c>
      <c r="F95" s="66" t="s">
        <v>4</v>
      </c>
      <c r="G95" s="66">
        <v>0.75</v>
      </c>
      <c r="H95" s="66" t="s">
        <v>4</v>
      </c>
      <c r="I95" s="66">
        <v>9.6199999999999992</v>
      </c>
      <c r="J95" s="66" t="s">
        <v>5</v>
      </c>
      <c r="K95" s="66">
        <f t="shared" si="5"/>
        <v>144.30000000000001</v>
      </c>
      <c r="L95" s="105" t="s">
        <v>37</v>
      </c>
      <c r="O95" s="98" t="s">
        <v>26</v>
      </c>
      <c r="P95" s="8" t="s">
        <v>26</v>
      </c>
      <c r="Q95" s="8" t="s">
        <v>26</v>
      </c>
    </row>
    <row r="96" spans="1:30" ht="15" customHeight="1">
      <c r="C96" s="8">
        <v>2</v>
      </c>
      <c r="D96" s="8" t="s">
        <v>4</v>
      </c>
      <c r="E96" s="66">
        <v>10</v>
      </c>
      <c r="F96" s="66" t="s">
        <v>4</v>
      </c>
      <c r="G96" s="66">
        <v>0.75</v>
      </c>
      <c r="H96" s="66" t="s">
        <v>4</v>
      </c>
      <c r="I96" s="66">
        <v>11.62</v>
      </c>
      <c r="J96" s="66" t="s">
        <v>5</v>
      </c>
      <c r="K96" s="66">
        <f t="shared" si="5"/>
        <v>174.3</v>
      </c>
      <c r="L96" s="105" t="s">
        <v>37</v>
      </c>
      <c r="O96" s="98"/>
    </row>
    <row r="97" spans="2:15" ht="15" customHeight="1">
      <c r="C97" s="8">
        <v>3</v>
      </c>
      <c r="D97" s="8" t="s">
        <v>4</v>
      </c>
      <c r="E97" s="66">
        <v>4</v>
      </c>
      <c r="F97" s="66" t="s">
        <v>4</v>
      </c>
      <c r="G97" s="66">
        <v>0.75</v>
      </c>
      <c r="H97" s="66" t="s">
        <v>4</v>
      </c>
      <c r="I97" s="66">
        <v>9.6199999999999992</v>
      </c>
      <c r="J97" s="66" t="s">
        <v>5</v>
      </c>
      <c r="K97" s="66">
        <f t="shared" si="5"/>
        <v>86.58</v>
      </c>
      <c r="L97" s="105" t="s">
        <v>37</v>
      </c>
      <c r="O97" s="98"/>
    </row>
    <row r="98" spans="2:15" ht="15" customHeight="1">
      <c r="C98" s="8">
        <v>1</v>
      </c>
      <c r="D98" s="8" t="s">
        <v>4</v>
      </c>
      <c r="E98" s="66">
        <v>4</v>
      </c>
      <c r="F98" s="66" t="s">
        <v>4</v>
      </c>
      <c r="G98" s="66">
        <v>0.37</v>
      </c>
      <c r="H98" s="66" t="s">
        <v>4</v>
      </c>
      <c r="I98" s="66">
        <v>9.6199999999999992</v>
      </c>
      <c r="J98" s="66" t="s">
        <v>5</v>
      </c>
      <c r="K98" s="66">
        <f t="shared" si="5"/>
        <v>14.237599999999999</v>
      </c>
      <c r="L98" s="105" t="s">
        <v>37</v>
      </c>
      <c r="O98" s="98"/>
    </row>
    <row r="99" spans="2:15" ht="15" customHeight="1">
      <c r="C99" s="8">
        <v>1</v>
      </c>
      <c r="D99" s="8" t="s">
        <v>4</v>
      </c>
      <c r="E99" s="66">
        <v>7.5</v>
      </c>
      <c r="F99" s="66" t="s">
        <v>4</v>
      </c>
      <c r="G99" s="66">
        <v>0.75</v>
      </c>
      <c r="H99" s="66" t="s">
        <v>4</v>
      </c>
      <c r="I99" s="66">
        <v>7.13</v>
      </c>
      <c r="J99" s="66" t="s">
        <v>5</v>
      </c>
      <c r="K99" s="66">
        <f t="shared" si="5"/>
        <v>40.106250000000003</v>
      </c>
      <c r="L99" s="105" t="s">
        <v>37</v>
      </c>
      <c r="O99" s="98"/>
    </row>
    <row r="100" spans="2:15" ht="15" customHeight="1">
      <c r="C100" s="8">
        <v>1</v>
      </c>
      <c r="D100" s="8" t="s">
        <v>4</v>
      </c>
      <c r="E100" s="66">
        <v>9.25</v>
      </c>
      <c r="F100" s="66" t="s">
        <v>4</v>
      </c>
      <c r="G100" s="66">
        <v>0.37</v>
      </c>
      <c r="H100" s="66" t="s">
        <v>4</v>
      </c>
      <c r="I100" s="66">
        <v>7.13</v>
      </c>
      <c r="J100" s="66" t="s">
        <v>5</v>
      </c>
      <c r="K100" s="66">
        <f t="shared" si="5"/>
        <v>24.402425000000001</v>
      </c>
      <c r="L100" s="105" t="s">
        <v>37</v>
      </c>
      <c r="O100" s="98"/>
    </row>
    <row r="101" spans="2:15" ht="15" customHeight="1">
      <c r="E101" s="66"/>
      <c r="F101" s="66"/>
      <c r="G101" s="66"/>
      <c r="H101" s="66"/>
      <c r="I101" s="66"/>
      <c r="J101" s="66"/>
      <c r="K101" s="100">
        <f>SUM(K86:K100)</f>
        <v>1141.4041749999999</v>
      </c>
      <c r="L101" s="172" t="s">
        <v>37</v>
      </c>
      <c r="O101" s="98"/>
    </row>
    <row r="102" spans="2:15" ht="15" customHeight="1">
      <c r="B102" s="40" t="s">
        <v>41</v>
      </c>
      <c r="E102" s="66"/>
      <c r="F102" s="66"/>
      <c r="G102" s="66"/>
      <c r="H102" s="66"/>
      <c r="I102" s="66"/>
      <c r="J102" s="66"/>
      <c r="K102" s="114"/>
      <c r="L102" s="105"/>
      <c r="O102" s="106"/>
    </row>
    <row r="103" spans="2:15" ht="15" customHeight="1">
      <c r="C103" s="8">
        <v>2</v>
      </c>
      <c r="D103" s="8" t="s">
        <v>4</v>
      </c>
      <c r="E103" s="66">
        <v>4.5</v>
      </c>
      <c r="F103" s="66" t="s">
        <v>4</v>
      </c>
      <c r="G103" s="66">
        <v>0.75</v>
      </c>
      <c r="H103" s="66"/>
      <c r="I103" s="66"/>
      <c r="J103" s="66" t="s">
        <v>5</v>
      </c>
      <c r="K103" s="66">
        <f>G103*E103*C103</f>
        <v>6.75</v>
      </c>
      <c r="L103" s="105" t="s">
        <v>8</v>
      </c>
      <c r="O103" s="106"/>
    </row>
    <row r="104" spans="2:15" ht="15" customHeight="1">
      <c r="C104" s="8">
        <v>2</v>
      </c>
      <c r="D104" s="8" t="s">
        <v>4</v>
      </c>
      <c r="E104" s="66">
        <v>5.5</v>
      </c>
      <c r="F104" s="66" t="s">
        <v>4</v>
      </c>
      <c r="G104" s="66">
        <v>0.75</v>
      </c>
      <c r="H104" s="66" t="s">
        <v>4</v>
      </c>
      <c r="I104" s="66">
        <v>0.57999999999999996</v>
      </c>
      <c r="J104" s="66" t="s">
        <v>5</v>
      </c>
      <c r="K104" s="66">
        <f t="shared" ref="K104:K124" si="6">I104*G104*E104*C104</f>
        <v>4.7849999999999993</v>
      </c>
      <c r="L104" s="105" t="s">
        <v>8</v>
      </c>
      <c r="O104" s="106"/>
    </row>
    <row r="105" spans="2:15" ht="15" customHeight="1">
      <c r="C105" s="8">
        <v>2</v>
      </c>
      <c r="D105" s="8" t="s">
        <v>4</v>
      </c>
      <c r="E105" s="66">
        <v>3</v>
      </c>
      <c r="F105" s="66" t="s">
        <v>4</v>
      </c>
      <c r="G105" s="66">
        <v>0.75</v>
      </c>
      <c r="H105" s="66" t="s">
        <v>4</v>
      </c>
      <c r="I105" s="66">
        <v>7</v>
      </c>
      <c r="J105" s="66" t="s">
        <v>5</v>
      </c>
      <c r="K105" s="66">
        <f t="shared" si="6"/>
        <v>31.5</v>
      </c>
      <c r="L105" s="105" t="s">
        <v>8</v>
      </c>
      <c r="O105" s="106"/>
    </row>
    <row r="106" spans="2:15" ht="15" customHeight="1">
      <c r="C106" s="8">
        <f>C104</f>
        <v>2</v>
      </c>
      <c r="D106" s="8" t="s">
        <v>4</v>
      </c>
      <c r="E106" s="66">
        <v>4.75</v>
      </c>
      <c r="F106" s="66" t="s">
        <v>4</v>
      </c>
      <c r="G106" s="66">
        <v>0.57999999999999996</v>
      </c>
      <c r="H106" s="66"/>
      <c r="I106" s="66"/>
      <c r="J106" s="66" t="s">
        <v>38</v>
      </c>
      <c r="K106" s="66">
        <f>G106*E106*C106</f>
        <v>5.51</v>
      </c>
      <c r="L106" s="105" t="s">
        <v>8</v>
      </c>
      <c r="O106" s="106"/>
    </row>
    <row r="107" spans="2:15" ht="15" customHeight="1">
      <c r="B107" s="110"/>
      <c r="C107" s="8">
        <v>1</v>
      </c>
      <c r="D107" s="8" t="s">
        <v>4</v>
      </c>
      <c r="E107" s="66">
        <v>3</v>
      </c>
      <c r="F107" s="66" t="s">
        <v>4</v>
      </c>
      <c r="G107" s="66">
        <v>0.75</v>
      </c>
      <c r="H107" s="66" t="s">
        <v>4</v>
      </c>
      <c r="I107" s="66">
        <v>7</v>
      </c>
      <c r="J107" s="66" t="s">
        <v>38</v>
      </c>
      <c r="K107" s="66">
        <f t="shared" si="6"/>
        <v>15.75</v>
      </c>
      <c r="L107" s="105" t="s">
        <v>8</v>
      </c>
      <c r="O107" s="106"/>
    </row>
    <row r="108" spans="2:15" ht="15" customHeight="1">
      <c r="B108" s="110"/>
      <c r="C108" s="8">
        <v>2</v>
      </c>
      <c r="D108" s="8" t="s">
        <v>4</v>
      </c>
      <c r="E108" s="66">
        <v>3</v>
      </c>
      <c r="F108" s="66" t="s">
        <v>4</v>
      </c>
      <c r="G108" s="66">
        <v>0.75</v>
      </c>
      <c r="H108" s="66" t="s">
        <v>4</v>
      </c>
      <c r="I108" s="66">
        <v>7</v>
      </c>
      <c r="J108" s="66" t="s">
        <v>38</v>
      </c>
      <c r="K108" s="66">
        <f t="shared" si="6"/>
        <v>31.5</v>
      </c>
      <c r="L108" s="105" t="s">
        <v>8</v>
      </c>
      <c r="O108" s="106"/>
    </row>
    <row r="109" spans="2:15" ht="15" customHeight="1">
      <c r="B109" s="110"/>
      <c r="C109" s="8">
        <v>1</v>
      </c>
      <c r="D109" s="8" t="s">
        <v>4</v>
      </c>
      <c r="E109" s="66">
        <v>2.91</v>
      </c>
      <c r="F109" s="66" t="s">
        <v>4</v>
      </c>
      <c r="G109" s="66">
        <v>0.75</v>
      </c>
      <c r="H109" s="66" t="s">
        <v>4</v>
      </c>
      <c r="I109" s="66">
        <v>4</v>
      </c>
      <c r="J109" s="66" t="s">
        <v>38</v>
      </c>
      <c r="K109" s="66">
        <f t="shared" si="6"/>
        <v>8.73</v>
      </c>
      <c r="L109" s="105" t="s">
        <v>8</v>
      </c>
      <c r="O109" s="106"/>
    </row>
    <row r="110" spans="2:15" ht="15" customHeight="1">
      <c r="B110" s="110"/>
      <c r="C110" s="8">
        <v>1</v>
      </c>
      <c r="D110" s="8" t="s">
        <v>4</v>
      </c>
      <c r="E110" s="66">
        <v>2.25</v>
      </c>
      <c r="F110" s="66" t="s">
        <v>4</v>
      </c>
      <c r="G110" s="66">
        <v>0.75</v>
      </c>
      <c r="H110" s="66" t="s">
        <v>4</v>
      </c>
      <c r="I110" s="66">
        <v>4</v>
      </c>
      <c r="J110" s="66" t="s">
        <v>38</v>
      </c>
      <c r="K110" s="66">
        <f t="shared" si="6"/>
        <v>6.75</v>
      </c>
      <c r="L110" s="105" t="s">
        <v>8</v>
      </c>
      <c r="O110" s="106"/>
    </row>
    <row r="111" spans="2:15" ht="15" customHeight="1">
      <c r="B111" s="110"/>
      <c r="C111" s="8">
        <v>1</v>
      </c>
      <c r="D111" s="8" t="s">
        <v>4</v>
      </c>
      <c r="E111" s="66">
        <v>3</v>
      </c>
      <c r="F111" s="66" t="s">
        <v>4</v>
      </c>
      <c r="G111" s="66">
        <v>0.38</v>
      </c>
      <c r="H111" s="66" t="s">
        <v>4</v>
      </c>
      <c r="I111" s="66">
        <v>4</v>
      </c>
      <c r="J111" s="66" t="s">
        <v>38</v>
      </c>
      <c r="K111" s="66">
        <f t="shared" si="6"/>
        <v>4.5600000000000005</v>
      </c>
      <c r="L111" s="105" t="s">
        <v>8</v>
      </c>
      <c r="O111" s="106"/>
    </row>
    <row r="112" spans="2:15" ht="15" customHeight="1">
      <c r="B112" s="110"/>
      <c r="C112" s="8">
        <v>1</v>
      </c>
      <c r="D112" s="8" t="s">
        <v>4</v>
      </c>
      <c r="E112" s="66">
        <v>10</v>
      </c>
      <c r="F112" s="66" t="s">
        <v>4</v>
      </c>
      <c r="G112" s="66">
        <v>0.75</v>
      </c>
      <c r="H112" s="66" t="s">
        <v>4</v>
      </c>
      <c r="I112" s="66">
        <v>0.57999999999999996</v>
      </c>
      <c r="J112" s="66" t="s">
        <v>38</v>
      </c>
      <c r="K112" s="66">
        <f t="shared" si="6"/>
        <v>4.3499999999999996</v>
      </c>
      <c r="L112" s="105" t="s">
        <v>8</v>
      </c>
      <c r="O112" s="106"/>
    </row>
    <row r="113" spans="2:30" ht="15" customHeight="1">
      <c r="B113" s="110"/>
      <c r="C113" s="8">
        <v>1</v>
      </c>
      <c r="D113" s="8" t="s">
        <v>4</v>
      </c>
      <c r="E113" s="66">
        <v>3.4</v>
      </c>
      <c r="F113" s="66" t="s">
        <v>4</v>
      </c>
      <c r="G113" s="66">
        <v>0.75</v>
      </c>
      <c r="H113" s="66" t="s">
        <v>4</v>
      </c>
      <c r="I113" s="66">
        <v>0.57999999999999996</v>
      </c>
      <c r="J113" s="66" t="s">
        <v>38</v>
      </c>
      <c r="K113" s="66">
        <f t="shared" si="6"/>
        <v>1.4789999999999999</v>
      </c>
      <c r="L113" s="105" t="s">
        <v>8</v>
      </c>
      <c r="O113" s="106"/>
    </row>
    <row r="114" spans="2:30" ht="15" customHeight="1">
      <c r="B114" s="110"/>
      <c r="C114" s="8">
        <v>1</v>
      </c>
      <c r="D114" s="8" t="s">
        <v>4</v>
      </c>
      <c r="E114" s="66">
        <v>2.5</v>
      </c>
      <c r="F114" s="66" t="s">
        <v>4</v>
      </c>
      <c r="G114" s="66">
        <v>0.75</v>
      </c>
      <c r="H114" s="66" t="s">
        <v>4</v>
      </c>
      <c r="I114" s="66">
        <v>7</v>
      </c>
      <c r="J114" s="66" t="s">
        <v>38</v>
      </c>
      <c r="K114" s="66">
        <f t="shared" si="6"/>
        <v>13.125</v>
      </c>
      <c r="L114" s="105" t="s">
        <v>8</v>
      </c>
      <c r="O114" s="106"/>
    </row>
    <row r="115" spans="2:30" ht="15" customHeight="1">
      <c r="B115" s="110"/>
      <c r="C115" s="8">
        <v>1</v>
      </c>
      <c r="D115" s="8" t="s">
        <v>4</v>
      </c>
      <c r="E115" s="66">
        <v>8</v>
      </c>
      <c r="F115" s="66" t="s">
        <v>4</v>
      </c>
      <c r="G115" s="66">
        <v>0.75</v>
      </c>
      <c r="H115" s="66" t="s">
        <v>4</v>
      </c>
      <c r="I115" s="66">
        <v>0.75</v>
      </c>
      <c r="J115" s="66" t="s">
        <v>38</v>
      </c>
      <c r="K115" s="66">
        <f t="shared" si="6"/>
        <v>4.5</v>
      </c>
      <c r="L115" s="105" t="s">
        <v>8</v>
      </c>
      <c r="O115" s="106"/>
    </row>
    <row r="116" spans="2:30" ht="15" customHeight="1">
      <c r="B116" s="110"/>
      <c r="C116" s="8">
        <v>1</v>
      </c>
      <c r="D116" s="8" t="s">
        <v>4</v>
      </c>
      <c r="E116" s="66">
        <v>1</v>
      </c>
      <c r="F116" s="66" t="s">
        <v>4</v>
      </c>
      <c r="G116" s="66">
        <v>0.75</v>
      </c>
      <c r="H116" s="66" t="s">
        <v>4</v>
      </c>
      <c r="I116" s="66">
        <v>1.25</v>
      </c>
      <c r="J116" s="66" t="s">
        <v>38</v>
      </c>
      <c r="K116" s="66">
        <f t="shared" si="6"/>
        <v>0.9375</v>
      </c>
      <c r="L116" s="105" t="s">
        <v>8</v>
      </c>
      <c r="O116" s="106"/>
    </row>
    <row r="117" spans="2:30" ht="15" customHeight="1">
      <c r="B117" s="110"/>
      <c r="C117" s="8">
        <v>1</v>
      </c>
      <c r="D117" s="8" t="s">
        <v>4</v>
      </c>
      <c r="E117" s="66">
        <v>5.5</v>
      </c>
      <c r="F117" s="66" t="s">
        <v>4</v>
      </c>
      <c r="G117" s="66">
        <v>0.75</v>
      </c>
      <c r="H117" s="66" t="s">
        <v>4</v>
      </c>
      <c r="I117" s="66">
        <v>0.57999999999999996</v>
      </c>
      <c r="J117" s="66" t="s">
        <v>38</v>
      </c>
      <c r="K117" s="66">
        <f t="shared" si="6"/>
        <v>2.3924999999999996</v>
      </c>
      <c r="L117" s="105" t="s">
        <v>8</v>
      </c>
      <c r="O117" s="106"/>
    </row>
    <row r="118" spans="2:30" ht="15" customHeight="1">
      <c r="B118" s="110"/>
      <c r="C118" s="8">
        <v>2</v>
      </c>
      <c r="D118" s="8" t="s">
        <v>4</v>
      </c>
      <c r="E118" s="66">
        <v>2.5</v>
      </c>
      <c r="F118" s="66" t="s">
        <v>4</v>
      </c>
      <c r="G118" s="66">
        <v>0.75</v>
      </c>
      <c r="H118" s="66" t="s">
        <v>4</v>
      </c>
      <c r="I118" s="66">
        <v>7</v>
      </c>
      <c r="J118" s="66" t="s">
        <v>38</v>
      </c>
      <c r="K118" s="66">
        <f t="shared" si="6"/>
        <v>26.25</v>
      </c>
      <c r="L118" s="105" t="s">
        <v>8</v>
      </c>
      <c r="O118" s="106"/>
    </row>
    <row r="119" spans="2:30" ht="15" customHeight="1">
      <c r="B119" s="110"/>
      <c r="C119" s="8">
        <v>1</v>
      </c>
      <c r="D119" s="8" t="s">
        <v>4</v>
      </c>
      <c r="E119" s="66">
        <v>2.5</v>
      </c>
      <c r="F119" s="66" t="s">
        <v>4</v>
      </c>
      <c r="G119" s="66">
        <v>0.75</v>
      </c>
      <c r="H119" s="66" t="s">
        <v>4</v>
      </c>
      <c r="I119" s="66">
        <v>0.57999999999999996</v>
      </c>
      <c r="J119" s="66" t="s">
        <v>38</v>
      </c>
      <c r="K119" s="66">
        <f t="shared" si="6"/>
        <v>1.0874999999999999</v>
      </c>
      <c r="L119" s="105" t="s">
        <v>8</v>
      </c>
      <c r="O119" s="106"/>
    </row>
    <row r="120" spans="2:30" ht="15" customHeight="1">
      <c r="B120" s="110"/>
      <c r="C120" s="8">
        <v>2</v>
      </c>
      <c r="D120" s="8" t="s">
        <v>4</v>
      </c>
      <c r="E120" s="66">
        <v>1.5</v>
      </c>
      <c r="F120" s="66" t="s">
        <v>4</v>
      </c>
      <c r="G120" s="66">
        <v>0.75</v>
      </c>
      <c r="H120" s="66" t="s">
        <v>4</v>
      </c>
      <c r="I120" s="66">
        <v>1.75</v>
      </c>
      <c r="J120" s="66" t="s">
        <v>38</v>
      </c>
      <c r="K120" s="66">
        <f t="shared" si="6"/>
        <v>3.9375</v>
      </c>
      <c r="L120" s="105" t="s">
        <v>8</v>
      </c>
      <c r="O120" s="106"/>
    </row>
    <row r="121" spans="2:30" ht="15" customHeight="1">
      <c r="B121" s="110"/>
      <c r="C121" s="8">
        <v>2</v>
      </c>
      <c r="D121" s="8" t="s">
        <v>4</v>
      </c>
      <c r="E121" s="66">
        <v>3.5</v>
      </c>
      <c r="F121" s="66" t="s">
        <v>4</v>
      </c>
      <c r="G121" s="66">
        <v>0.75</v>
      </c>
      <c r="H121" s="66" t="s">
        <v>4</v>
      </c>
      <c r="I121" s="66">
        <v>0.57999999999999996</v>
      </c>
      <c r="J121" s="66" t="s">
        <v>38</v>
      </c>
      <c r="K121" s="66">
        <f t="shared" si="6"/>
        <v>3.0449999999999995</v>
      </c>
      <c r="L121" s="105" t="s">
        <v>8</v>
      </c>
      <c r="O121" s="106"/>
    </row>
    <row r="122" spans="2:30" ht="15" customHeight="1">
      <c r="B122" s="110"/>
      <c r="C122" s="8">
        <v>2</v>
      </c>
      <c r="D122" s="8" t="s">
        <v>4</v>
      </c>
      <c r="E122" s="66">
        <v>2.5</v>
      </c>
      <c r="F122" s="66" t="s">
        <v>4</v>
      </c>
      <c r="G122" s="66">
        <v>0.75</v>
      </c>
      <c r="H122" s="66" t="s">
        <v>4</v>
      </c>
      <c r="I122" s="66">
        <v>0.57999999999999996</v>
      </c>
      <c r="J122" s="66" t="s">
        <v>38</v>
      </c>
      <c r="K122" s="66">
        <f t="shared" si="6"/>
        <v>2.1749999999999998</v>
      </c>
      <c r="L122" s="105" t="s">
        <v>8</v>
      </c>
      <c r="O122" s="106"/>
    </row>
    <row r="123" spans="2:30" ht="15" customHeight="1">
      <c r="B123" s="110"/>
      <c r="C123" s="8">
        <v>3</v>
      </c>
      <c r="D123" s="8" t="s">
        <v>4</v>
      </c>
      <c r="E123" s="66">
        <v>5</v>
      </c>
      <c r="F123" s="66" t="s">
        <v>4</v>
      </c>
      <c r="G123" s="66">
        <v>0.75</v>
      </c>
      <c r="H123" s="66" t="s">
        <v>4</v>
      </c>
      <c r="I123" s="66">
        <v>0.72</v>
      </c>
      <c r="J123" s="66" t="s">
        <v>38</v>
      </c>
      <c r="K123" s="66">
        <f t="shared" si="6"/>
        <v>8.1000000000000014</v>
      </c>
      <c r="L123" s="105" t="s">
        <v>8</v>
      </c>
      <c r="O123" s="106"/>
    </row>
    <row r="124" spans="2:30" ht="15" customHeight="1">
      <c r="B124" s="110"/>
      <c r="C124" s="8">
        <v>1</v>
      </c>
      <c r="D124" s="8" t="s">
        <v>4</v>
      </c>
      <c r="E124" s="66">
        <v>4</v>
      </c>
      <c r="F124" s="66" t="s">
        <v>4</v>
      </c>
      <c r="G124" s="66">
        <v>0.75</v>
      </c>
      <c r="H124" s="66" t="s">
        <v>4</v>
      </c>
      <c r="I124" s="66">
        <v>0.57999999999999996</v>
      </c>
      <c r="J124" s="66" t="s">
        <v>38</v>
      </c>
      <c r="K124" s="66">
        <f t="shared" si="6"/>
        <v>1.7399999999999998</v>
      </c>
      <c r="L124" s="105" t="s">
        <v>8</v>
      </c>
      <c r="O124" s="106"/>
    </row>
    <row r="125" spans="2:30" ht="15" customHeight="1">
      <c r="E125" s="66"/>
      <c r="F125" s="66"/>
      <c r="G125" s="66"/>
      <c r="H125" s="66"/>
      <c r="I125" s="66"/>
      <c r="J125" s="66"/>
      <c r="K125" s="111">
        <f>SUM(K103:K124)</f>
        <v>188.95400000000001</v>
      </c>
      <c r="L125" s="105" t="s">
        <v>8</v>
      </c>
      <c r="O125" s="106"/>
    </row>
    <row r="126" spans="2:30" ht="15" customHeight="1">
      <c r="B126" s="8" t="s">
        <v>142</v>
      </c>
      <c r="C126" s="320">
        <f>K101</f>
        <v>1141.4041749999999</v>
      </c>
      <c r="D126" s="320"/>
      <c r="E126" s="320"/>
      <c r="F126" s="8" t="s">
        <v>143</v>
      </c>
      <c r="G126" s="320">
        <f>K125</f>
        <v>188.95400000000001</v>
      </c>
      <c r="H126" s="306"/>
      <c r="I126" s="306"/>
      <c r="J126" s="8" t="s">
        <v>38</v>
      </c>
      <c r="K126" s="111">
        <f>C126-G126</f>
        <v>952.45017499999994</v>
      </c>
      <c r="L126" s="92" t="s">
        <v>8</v>
      </c>
      <c r="O126" s="106"/>
    </row>
    <row r="127" spans="2:30" ht="15" customHeight="1">
      <c r="B127" s="102">
        <f>K126</f>
        <v>952.45017499999994</v>
      </c>
      <c r="C127" s="103" t="s">
        <v>8</v>
      </c>
      <c r="D127" s="103"/>
      <c r="E127" s="103"/>
      <c r="K127" s="108" t="str">
        <f>K69</f>
        <v xml:space="preserve"> @Rs:</v>
      </c>
      <c r="L127" s="105">
        <v>12674.36</v>
      </c>
      <c r="M127" s="8" t="s">
        <v>14</v>
      </c>
      <c r="N127" s="8" t="s">
        <v>31</v>
      </c>
      <c r="O127" s="106">
        <f>B127*L127/100</f>
        <v>120716.96400013</v>
      </c>
      <c r="AD127" s="8">
        <v>40424</v>
      </c>
    </row>
    <row r="128" spans="2:30" ht="15" customHeight="1">
      <c r="K128" s="107"/>
      <c r="L128" s="92"/>
      <c r="O128" s="106"/>
    </row>
    <row r="129" spans="1:17" ht="15" customHeight="1">
      <c r="A129" s="8">
        <v>7</v>
      </c>
      <c r="B129" s="8" t="s">
        <v>15</v>
      </c>
      <c r="L129" s="92"/>
      <c r="O129" s="106"/>
    </row>
    <row r="130" spans="1:17" ht="15" customHeight="1">
      <c r="B130" s="41" t="s">
        <v>144</v>
      </c>
      <c r="C130" s="41"/>
      <c r="D130" s="41"/>
      <c r="E130" s="41"/>
      <c r="F130" s="41"/>
      <c r="G130" s="41"/>
      <c r="H130" s="41"/>
      <c r="L130" s="92"/>
      <c r="O130" s="106"/>
    </row>
    <row r="131" spans="1:17" ht="15" customHeight="1">
      <c r="B131" s="41" t="s">
        <v>145</v>
      </c>
      <c r="C131" s="41"/>
      <c r="D131" s="41"/>
      <c r="E131" s="41"/>
      <c r="F131" s="41"/>
      <c r="G131" s="41"/>
      <c r="H131" s="41"/>
      <c r="L131" s="92"/>
      <c r="O131" s="106"/>
    </row>
    <row r="132" spans="1:17" ht="15" customHeight="1">
      <c r="B132" s="8" t="s">
        <v>146</v>
      </c>
      <c r="L132" s="92"/>
      <c r="O132" s="106"/>
    </row>
    <row r="133" spans="1:17" ht="15" customHeight="1">
      <c r="B133" s="8" t="s">
        <v>147</v>
      </c>
      <c r="L133" s="92"/>
      <c r="O133" s="106"/>
    </row>
    <row r="134" spans="1:17" ht="15" customHeight="1">
      <c r="B134" s="8" t="s">
        <v>148</v>
      </c>
      <c r="L134" s="92"/>
      <c r="O134" s="106"/>
    </row>
    <row r="135" spans="1:17" ht="15" customHeight="1">
      <c r="B135" s="8" t="s">
        <v>149</v>
      </c>
      <c r="L135" s="92"/>
      <c r="O135" s="106"/>
    </row>
    <row r="136" spans="1:17" ht="15" customHeight="1">
      <c r="C136" s="8">
        <v>1</v>
      </c>
      <c r="D136" s="8" t="s">
        <v>4</v>
      </c>
      <c r="E136" s="66">
        <v>13.38</v>
      </c>
      <c r="F136" s="66" t="s">
        <v>4</v>
      </c>
      <c r="G136" s="66">
        <v>16</v>
      </c>
      <c r="H136" s="66" t="s">
        <v>4</v>
      </c>
      <c r="I136" s="66">
        <v>0.38</v>
      </c>
      <c r="J136" s="66" t="s">
        <v>5</v>
      </c>
      <c r="K136" s="66">
        <f>I136*G136*E136*C136</f>
        <v>81.350400000000008</v>
      </c>
      <c r="L136" s="105" t="s">
        <v>37</v>
      </c>
      <c r="M136" s="66"/>
      <c r="O136" s="98" t="s">
        <v>26</v>
      </c>
      <c r="P136" s="8" t="s">
        <v>26</v>
      </c>
      <c r="Q136" s="8" t="s">
        <v>26</v>
      </c>
    </row>
    <row r="137" spans="1:17" ht="15" customHeight="1">
      <c r="C137" s="8">
        <v>1</v>
      </c>
      <c r="D137" s="8" t="s">
        <v>4</v>
      </c>
      <c r="E137" s="66">
        <v>7.5</v>
      </c>
      <c r="F137" s="66" t="s">
        <v>4</v>
      </c>
      <c r="G137" s="66">
        <v>9</v>
      </c>
      <c r="H137" s="66" t="s">
        <v>4</v>
      </c>
      <c r="I137" s="66">
        <v>0.38</v>
      </c>
      <c r="J137" s="66" t="s">
        <v>5</v>
      </c>
      <c r="K137" s="66">
        <f t="shared" ref="K137:K156" si="7">I137*G137*E137*C137</f>
        <v>25.65</v>
      </c>
      <c r="L137" s="105" t="s">
        <v>37</v>
      </c>
      <c r="M137" s="66"/>
      <c r="O137" s="98"/>
    </row>
    <row r="138" spans="1:17" ht="15" customHeight="1">
      <c r="C138" s="8">
        <v>1</v>
      </c>
      <c r="D138" s="8" t="s">
        <v>4</v>
      </c>
      <c r="E138" s="66">
        <v>3.75</v>
      </c>
      <c r="F138" s="66" t="s">
        <v>4</v>
      </c>
      <c r="G138" s="66">
        <v>1.5</v>
      </c>
      <c r="H138" s="66" t="s">
        <v>4</v>
      </c>
      <c r="I138" s="66">
        <v>0.38</v>
      </c>
      <c r="J138" s="66" t="s">
        <v>5</v>
      </c>
      <c r="K138" s="66">
        <f t="shared" si="7"/>
        <v>2.1375000000000002</v>
      </c>
      <c r="L138" s="105" t="s">
        <v>37</v>
      </c>
      <c r="M138" s="66"/>
      <c r="O138" s="98"/>
    </row>
    <row r="139" spans="1:17" ht="15" customHeight="1">
      <c r="C139" s="8">
        <v>1</v>
      </c>
      <c r="D139" s="8" t="s">
        <v>4</v>
      </c>
      <c r="E139" s="66">
        <v>15.25</v>
      </c>
      <c r="F139" s="66" t="s">
        <v>4</v>
      </c>
      <c r="G139" s="66">
        <v>16.5</v>
      </c>
      <c r="H139" s="66"/>
      <c r="I139" s="66">
        <v>0.38</v>
      </c>
      <c r="J139" s="66" t="s">
        <v>5</v>
      </c>
      <c r="K139" s="66">
        <f t="shared" si="7"/>
        <v>95.617500000000007</v>
      </c>
      <c r="L139" s="105" t="s">
        <v>37</v>
      </c>
      <c r="M139" s="66"/>
      <c r="O139" s="98"/>
    </row>
    <row r="140" spans="1:17" ht="15" customHeight="1">
      <c r="C140" s="8">
        <v>1</v>
      </c>
      <c r="D140" s="8" t="s">
        <v>4</v>
      </c>
      <c r="E140" s="66">
        <v>10</v>
      </c>
      <c r="F140" s="66" t="s">
        <v>4</v>
      </c>
      <c r="G140" s="66">
        <v>0.75</v>
      </c>
      <c r="H140" s="66" t="s">
        <v>4</v>
      </c>
      <c r="I140" s="66">
        <v>0.38</v>
      </c>
      <c r="J140" s="66" t="s">
        <v>5</v>
      </c>
      <c r="K140" s="66">
        <f t="shared" si="7"/>
        <v>2.8500000000000005</v>
      </c>
      <c r="L140" s="105" t="s">
        <v>37</v>
      </c>
      <c r="M140" s="66"/>
      <c r="O140" s="98"/>
    </row>
    <row r="141" spans="1:17" ht="15" customHeight="1">
      <c r="C141" s="8">
        <v>2</v>
      </c>
      <c r="D141" s="8" t="s">
        <v>4</v>
      </c>
      <c r="E141" s="66">
        <v>5</v>
      </c>
      <c r="F141" s="66" t="s">
        <v>4</v>
      </c>
      <c r="G141" s="66">
        <v>0.75</v>
      </c>
      <c r="H141" s="66" t="s">
        <v>4</v>
      </c>
      <c r="I141" s="66">
        <v>0.57999999999999996</v>
      </c>
      <c r="J141" s="66" t="s">
        <v>5</v>
      </c>
      <c r="K141" s="66">
        <f t="shared" si="7"/>
        <v>4.3499999999999996</v>
      </c>
      <c r="L141" s="105" t="s">
        <v>37</v>
      </c>
      <c r="M141" s="66"/>
      <c r="O141" s="98"/>
    </row>
    <row r="142" spans="1:17" ht="15" customHeight="1">
      <c r="C142" s="8">
        <v>2</v>
      </c>
      <c r="D142" s="8" t="s">
        <v>4</v>
      </c>
      <c r="E142" s="66">
        <v>4</v>
      </c>
      <c r="F142" s="66" t="s">
        <v>4</v>
      </c>
      <c r="G142" s="66">
        <v>0.75</v>
      </c>
      <c r="H142" s="66" t="s">
        <v>4</v>
      </c>
      <c r="I142" s="66">
        <v>0.57999999999999996</v>
      </c>
      <c r="J142" s="66" t="s">
        <v>5</v>
      </c>
      <c r="K142" s="66">
        <f t="shared" si="7"/>
        <v>3.4799999999999995</v>
      </c>
      <c r="L142" s="105" t="s">
        <v>37</v>
      </c>
      <c r="M142" s="66"/>
      <c r="O142" s="98"/>
    </row>
    <row r="143" spans="1:17" ht="15" customHeight="1">
      <c r="C143" s="8">
        <v>1</v>
      </c>
      <c r="D143" s="8" t="s">
        <v>4</v>
      </c>
      <c r="E143" s="66">
        <v>10</v>
      </c>
      <c r="F143" s="66" t="s">
        <v>4</v>
      </c>
      <c r="G143" s="66">
        <v>0.75</v>
      </c>
      <c r="H143" s="66"/>
      <c r="I143" s="66">
        <v>0.57999999999999996</v>
      </c>
      <c r="J143" s="66" t="s">
        <v>5</v>
      </c>
      <c r="K143" s="66">
        <f t="shared" si="7"/>
        <v>4.3499999999999996</v>
      </c>
      <c r="L143" s="105" t="s">
        <v>37</v>
      </c>
      <c r="M143" s="66"/>
      <c r="O143" s="98"/>
    </row>
    <row r="144" spans="1:17" ht="15" customHeight="1">
      <c r="C144" s="8">
        <v>1</v>
      </c>
      <c r="D144" s="8" t="s">
        <v>4</v>
      </c>
      <c r="E144" s="66">
        <v>3.5</v>
      </c>
      <c r="F144" s="66" t="s">
        <v>4</v>
      </c>
      <c r="G144" s="66">
        <v>0.75</v>
      </c>
      <c r="H144" s="66" t="s">
        <v>4</v>
      </c>
      <c r="I144" s="66">
        <v>0.57999999999999996</v>
      </c>
      <c r="J144" s="66" t="s">
        <v>5</v>
      </c>
      <c r="K144" s="66">
        <f t="shared" si="7"/>
        <v>1.5224999999999997</v>
      </c>
      <c r="L144" s="105" t="s">
        <v>37</v>
      </c>
      <c r="M144" s="66"/>
      <c r="O144" s="98"/>
    </row>
    <row r="145" spans="1:30" ht="15" customHeight="1">
      <c r="C145" s="8">
        <v>1</v>
      </c>
      <c r="D145" s="8" t="s">
        <v>4</v>
      </c>
      <c r="E145" s="66">
        <v>4</v>
      </c>
      <c r="F145" s="66" t="s">
        <v>4</v>
      </c>
      <c r="G145" s="66">
        <v>0.75</v>
      </c>
      <c r="H145" s="66" t="s">
        <v>4</v>
      </c>
      <c r="I145" s="66">
        <v>0.57999999999999996</v>
      </c>
      <c r="J145" s="66" t="s">
        <v>5</v>
      </c>
      <c r="K145" s="66">
        <f t="shared" si="7"/>
        <v>1.7399999999999998</v>
      </c>
      <c r="L145" s="105" t="s">
        <v>37</v>
      </c>
      <c r="M145" s="66"/>
      <c r="O145" s="98"/>
    </row>
    <row r="146" spans="1:30" ht="15" customHeight="1">
      <c r="C146" s="8">
        <v>1</v>
      </c>
      <c r="D146" s="8" t="s">
        <v>4</v>
      </c>
      <c r="E146" s="66">
        <v>5.5</v>
      </c>
      <c r="F146" s="66" t="s">
        <v>4</v>
      </c>
      <c r="G146" s="66">
        <v>0.75</v>
      </c>
      <c r="H146" s="66" t="s">
        <v>4</v>
      </c>
      <c r="I146" s="66">
        <v>0.57999999999999996</v>
      </c>
      <c r="J146" s="66" t="s">
        <v>5</v>
      </c>
      <c r="K146" s="66">
        <f t="shared" si="7"/>
        <v>2.3924999999999996</v>
      </c>
      <c r="L146" s="105" t="s">
        <v>37</v>
      </c>
      <c r="M146" s="66"/>
      <c r="O146" s="98" t="s">
        <v>26</v>
      </c>
      <c r="P146" s="8" t="s">
        <v>26</v>
      </c>
      <c r="Q146" s="8" t="s">
        <v>26</v>
      </c>
    </row>
    <row r="147" spans="1:30" ht="15" customHeight="1">
      <c r="C147" s="8">
        <v>2</v>
      </c>
      <c r="D147" s="8" t="s">
        <v>4</v>
      </c>
      <c r="E147" s="66">
        <v>2.5</v>
      </c>
      <c r="F147" s="66" t="s">
        <v>4</v>
      </c>
      <c r="G147" s="66">
        <v>0.75</v>
      </c>
      <c r="H147" s="66" t="s">
        <v>4</v>
      </c>
      <c r="I147" s="66">
        <v>0.57999999999999996</v>
      </c>
      <c r="J147" s="66" t="s">
        <v>5</v>
      </c>
      <c r="K147" s="66">
        <f t="shared" si="7"/>
        <v>2.1749999999999998</v>
      </c>
      <c r="L147" s="105" t="s">
        <v>37</v>
      </c>
      <c r="M147" s="66"/>
      <c r="O147" s="98"/>
    </row>
    <row r="148" spans="1:30" ht="15" customHeight="1">
      <c r="C148" s="8">
        <v>2</v>
      </c>
      <c r="D148" s="8" t="s">
        <v>4</v>
      </c>
      <c r="E148" s="66">
        <v>3.5</v>
      </c>
      <c r="F148" s="66" t="s">
        <v>4</v>
      </c>
      <c r="G148" s="66">
        <v>0.75</v>
      </c>
      <c r="H148" s="66" t="s">
        <v>4</v>
      </c>
      <c r="I148" s="66">
        <v>0.57999999999999996</v>
      </c>
      <c r="J148" s="66" t="s">
        <v>5</v>
      </c>
      <c r="K148" s="66">
        <f t="shared" si="7"/>
        <v>3.0449999999999995</v>
      </c>
      <c r="L148" s="105" t="s">
        <v>37</v>
      </c>
      <c r="M148" s="66"/>
      <c r="O148" s="98"/>
    </row>
    <row r="149" spans="1:30" ht="15" customHeight="1">
      <c r="C149" s="8">
        <v>2</v>
      </c>
      <c r="D149" s="8" t="s">
        <v>4</v>
      </c>
      <c r="E149" s="66">
        <v>2.5</v>
      </c>
      <c r="F149" s="66" t="s">
        <v>4</v>
      </c>
      <c r="G149" s="66">
        <v>0.75</v>
      </c>
      <c r="H149" s="66" t="s">
        <v>4</v>
      </c>
      <c r="I149" s="66">
        <v>0.57999999999999996</v>
      </c>
      <c r="J149" s="66" t="s">
        <v>5</v>
      </c>
      <c r="K149" s="66">
        <f t="shared" si="7"/>
        <v>2.1749999999999998</v>
      </c>
      <c r="L149" s="105" t="s">
        <v>37</v>
      </c>
      <c r="M149" s="66"/>
      <c r="O149" s="98"/>
    </row>
    <row r="150" spans="1:30" ht="15" customHeight="1">
      <c r="C150" s="8">
        <v>1</v>
      </c>
      <c r="D150" s="8" t="s">
        <v>4</v>
      </c>
      <c r="E150" s="66">
        <v>4</v>
      </c>
      <c r="F150" s="66" t="s">
        <v>4</v>
      </c>
      <c r="G150" s="66">
        <v>0.75</v>
      </c>
      <c r="H150" s="66" t="s">
        <v>4</v>
      </c>
      <c r="I150" s="66">
        <v>0.57999999999999996</v>
      </c>
      <c r="J150" s="66" t="s">
        <v>5</v>
      </c>
      <c r="K150" s="66">
        <f t="shared" si="7"/>
        <v>1.7399999999999998</v>
      </c>
      <c r="L150" s="105" t="s">
        <v>37</v>
      </c>
      <c r="M150" s="66"/>
      <c r="O150" s="98"/>
    </row>
    <row r="151" spans="1:30" ht="15" customHeight="1">
      <c r="C151" s="8">
        <v>1</v>
      </c>
      <c r="D151" s="8" t="s">
        <v>4</v>
      </c>
      <c r="E151" s="66">
        <v>61.5</v>
      </c>
      <c r="F151" s="66" t="s">
        <v>4</v>
      </c>
      <c r="G151" s="66">
        <v>0.25</v>
      </c>
      <c r="H151" s="66" t="s">
        <v>4</v>
      </c>
      <c r="I151" s="66">
        <v>1.25</v>
      </c>
      <c r="J151" s="66" t="s">
        <v>5</v>
      </c>
      <c r="K151" s="66">
        <f t="shared" si="7"/>
        <v>19.21875</v>
      </c>
      <c r="L151" s="105" t="s">
        <v>37</v>
      </c>
      <c r="M151" s="66"/>
      <c r="O151" s="98"/>
    </row>
    <row r="152" spans="1:30" ht="15" customHeight="1">
      <c r="C152" s="8">
        <v>1</v>
      </c>
      <c r="D152" s="8" t="s">
        <v>4</v>
      </c>
      <c r="E152" s="66">
        <v>37.75</v>
      </c>
      <c r="F152" s="66" t="s">
        <v>4</v>
      </c>
      <c r="G152" s="66">
        <v>0.25</v>
      </c>
      <c r="H152" s="66" t="s">
        <v>4</v>
      </c>
      <c r="I152" s="66">
        <v>1.25</v>
      </c>
      <c r="J152" s="66" t="s">
        <v>5</v>
      </c>
      <c r="K152" s="66">
        <f t="shared" si="7"/>
        <v>11.796875</v>
      </c>
      <c r="L152" s="105" t="s">
        <v>37</v>
      </c>
      <c r="M152" s="66"/>
      <c r="O152" s="98"/>
    </row>
    <row r="153" spans="1:30" ht="15" customHeight="1">
      <c r="C153" s="8">
        <v>1</v>
      </c>
      <c r="D153" s="8" t="s">
        <v>4</v>
      </c>
      <c r="E153" s="66">
        <v>3.5</v>
      </c>
      <c r="F153" s="66" t="s">
        <v>4</v>
      </c>
      <c r="G153" s="66">
        <v>0.25</v>
      </c>
      <c r="H153" s="66" t="s">
        <v>4</v>
      </c>
      <c r="I153" s="66">
        <v>2</v>
      </c>
      <c r="J153" s="66" t="s">
        <v>5</v>
      </c>
      <c r="K153" s="66">
        <f t="shared" si="7"/>
        <v>1.75</v>
      </c>
      <c r="L153" s="105" t="s">
        <v>37</v>
      </c>
      <c r="M153" s="66"/>
      <c r="O153" s="98"/>
    </row>
    <row r="154" spans="1:30" ht="15" customHeight="1">
      <c r="C154" s="8">
        <v>1</v>
      </c>
      <c r="D154" s="8" t="s">
        <v>4</v>
      </c>
      <c r="E154" s="66">
        <v>2</v>
      </c>
      <c r="F154" s="66" t="s">
        <v>4</v>
      </c>
      <c r="G154" s="66">
        <v>0.25</v>
      </c>
      <c r="H154" s="66" t="s">
        <v>4</v>
      </c>
      <c r="I154" s="66">
        <v>2</v>
      </c>
      <c r="J154" s="66" t="s">
        <v>5</v>
      </c>
      <c r="K154" s="66">
        <f t="shared" si="7"/>
        <v>1</v>
      </c>
      <c r="L154" s="105" t="s">
        <v>37</v>
      </c>
      <c r="M154" s="66"/>
      <c r="O154" s="98"/>
    </row>
    <row r="155" spans="1:30" ht="15" customHeight="1">
      <c r="C155" s="8">
        <v>1</v>
      </c>
      <c r="D155" s="8" t="s">
        <v>4</v>
      </c>
      <c r="E155" s="66">
        <v>3.5</v>
      </c>
      <c r="F155" s="66" t="s">
        <v>4</v>
      </c>
      <c r="G155" s="66">
        <v>0.25</v>
      </c>
      <c r="H155" s="66" t="s">
        <v>4</v>
      </c>
      <c r="I155" s="66">
        <v>0.3</v>
      </c>
      <c r="J155" s="66" t="s">
        <v>5</v>
      </c>
      <c r="K155" s="66">
        <f t="shared" si="7"/>
        <v>0.26250000000000001</v>
      </c>
      <c r="L155" s="105" t="s">
        <v>37</v>
      </c>
      <c r="M155" s="66"/>
      <c r="O155" s="98"/>
    </row>
    <row r="156" spans="1:30" ht="15" customHeight="1">
      <c r="C156" s="8">
        <v>1</v>
      </c>
      <c r="D156" s="8" t="s">
        <v>4</v>
      </c>
      <c r="E156" s="66">
        <v>5.5</v>
      </c>
      <c r="F156" s="66" t="s">
        <v>4</v>
      </c>
      <c r="G156" s="66">
        <v>0.87</v>
      </c>
      <c r="H156" s="66" t="s">
        <v>4</v>
      </c>
      <c r="I156" s="66">
        <v>0.25</v>
      </c>
      <c r="J156" s="66" t="s">
        <v>5</v>
      </c>
      <c r="K156" s="66">
        <f t="shared" si="7"/>
        <v>1.19625</v>
      </c>
      <c r="L156" s="105" t="s">
        <v>37</v>
      </c>
      <c r="M156" s="66"/>
      <c r="O156" s="98"/>
    </row>
    <row r="157" spans="1:30" ht="15" customHeight="1">
      <c r="E157" s="66"/>
      <c r="F157" s="66"/>
      <c r="G157" s="66"/>
      <c r="H157" s="66"/>
      <c r="I157" s="66"/>
      <c r="J157" s="66"/>
      <c r="K157" s="100">
        <f>SUM(K136:K156)</f>
        <v>269.79977500000007</v>
      </c>
      <c r="L157" s="172" t="s">
        <v>37</v>
      </c>
      <c r="M157" s="66"/>
      <c r="O157" s="98"/>
    </row>
    <row r="158" spans="1:30" ht="15" customHeight="1">
      <c r="B158" s="102">
        <f>K157</f>
        <v>269.79977500000007</v>
      </c>
      <c r="C158" s="103" t="s">
        <v>8</v>
      </c>
      <c r="D158" s="103"/>
      <c r="E158" s="102"/>
      <c r="F158" s="66"/>
      <c r="G158" s="66"/>
      <c r="H158" s="66"/>
      <c r="I158" s="66"/>
      <c r="J158" s="66"/>
      <c r="K158" s="108" t="str">
        <f>K127</f>
        <v xml:space="preserve"> @Rs:</v>
      </c>
      <c r="L158" s="105">
        <v>337</v>
      </c>
      <c r="M158" s="66" t="s">
        <v>59</v>
      </c>
      <c r="N158" s="8" t="s">
        <v>31</v>
      </c>
      <c r="O158" s="106">
        <f>B158*L158</f>
        <v>90922.524175000028</v>
      </c>
      <c r="AD158" s="8">
        <v>36059</v>
      </c>
    </row>
    <row r="159" spans="1:30" ht="15" customHeight="1">
      <c r="E159" s="66"/>
      <c r="F159" s="320"/>
      <c r="G159" s="320"/>
      <c r="H159" s="66"/>
      <c r="I159" s="66"/>
      <c r="J159" s="66"/>
      <c r="K159" s="66"/>
      <c r="L159" s="105"/>
      <c r="M159" s="66"/>
      <c r="O159" s="106"/>
    </row>
    <row r="160" spans="1:30" ht="15" customHeight="1">
      <c r="A160" s="63">
        <v>8</v>
      </c>
      <c r="B160" s="8" t="s">
        <v>150</v>
      </c>
      <c r="E160" s="66"/>
      <c r="F160" s="66"/>
      <c r="G160" s="66"/>
      <c r="H160" s="66"/>
      <c r="I160" s="66"/>
      <c r="J160" s="66"/>
      <c r="K160" s="66"/>
      <c r="L160" s="105"/>
      <c r="M160" s="66"/>
      <c r="O160" s="106"/>
    </row>
    <row r="161" spans="1:30" ht="15" customHeight="1">
      <c r="A161" s="63"/>
      <c r="B161" s="8" t="s">
        <v>151</v>
      </c>
      <c r="E161" s="66"/>
      <c r="F161" s="66"/>
      <c r="G161" s="66"/>
      <c r="H161" s="66"/>
      <c r="I161" s="66"/>
      <c r="J161" s="66"/>
      <c r="K161" s="66"/>
      <c r="L161" s="105"/>
      <c r="M161" s="66"/>
      <c r="O161" s="106"/>
    </row>
    <row r="162" spans="1:30" ht="15" customHeight="1">
      <c r="A162" s="63"/>
      <c r="B162" s="8" t="s">
        <v>152</v>
      </c>
      <c r="E162" s="66"/>
      <c r="F162" s="66"/>
      <c r="G162" s="66"/>
      <c r="H162" s="66"/>
      <c r="I162" s="66"/>
      <c r="J162" s="66"/>
      <c r="K162" s="66"/>
      <c r="L162" s="105"/>
      <c r="M162" s="66"/>
      <c r="O162" s="106"/>
    </row>
    <row r="163" spans="1:30" ht="15" customHeight="1">
      <c r="B163" s="114">
        <f>B158</f>
        <v>269.79977500000007</v>
      </c>
      <c r="C163" s="8" t="s">
        <v>4</v>
      </c>
      <c r="E163" s="66">
        <v>4.5</v>
      </c>
      <c r="F163" s="66" t="s">
        <v>40</v>
      </c>
      <c r="G163" s="320">
        <v>112</v>
      </c>
      <c r="H163" s="320"/>
      <c r="I163" s="66"/>
      <c r="J163" s="66" t="s">
        <v>5</v>
      </c>
      <c r="K163" s="66">
        <f>(B163*E163)/G163</f>
        <v>10.840169531250002</v>
      </c>
      <c r="L163" s="105" t="s">
        <v>11</v>
      </c>
      <c r="M163" s="66"/>
      <c r="O163" s="106"/>
    </row>
    <row r="164" spans="1:30" ht="15" customHeight="1">
      <c r="B164" s="102">
        <f>K163</f>
        <v>10.840169531250002</v>
      </c>
      <c r="C164" s="103" t="s">
        <v>11</v>
      </c>
      <c r="D164" s="103"/>
      <c r="E164" s="102"/>
      <c r="F164" s="66"/>
      <c r="G164" s="66"/>
      <c r="H164" s="66"/>
      <c r="I164" s="66"/>
      <c r="J164" s="66"/>
      <c r="K164" s="108" t="str">
        <f>K158</f>
        <v xml:space="preserve"> @Rs:</v>
      </c>
      <c r="L164" s="105">
        <v>5001.7</v>
      </c>
      <c r="M164" s="66" t="s">
        <v>76</v>
      </c>
      <c r="N164" s="8" t="s">
        <v>31</v>
      </c>
      <c r="O164" s="106">
        <f>B164*L164</f>
        <v>54219.275944453133</v>
      </c>
      <c r="AD164" s="8">
        <v>21457</v>
      </c>
    </row>
    <row r="165" spans="1:30" ht="15" customHeight="1">
      <c r="E165" s="66"/>
      <c r="F165" s="66"/>
      <c r="G165" s="66"/>
      <c r="H165" s="66"/>
      <c r="I165" s="66"/>
      <c r="J165" s="66"/>
      <c r="K165" s="66"/>
      <c r="L165" s="105"/>
      <c r="M165" s="66"/>
      <c r="O165" s="106"/>
    </row>
    <row r="166" spans="1:30" ht="15" customHeight="1">
      <c r="A166" s="63">
        <v>8</v>
      </c>
      <c r="B166" s="8" t="s">
        <v>338</v>
      </c>
      <c r="E166" s="66"/>
      <c r="F166" s="66"/>
      <c r="G166" s="66"/>
      <c r="H166" s="66"/>
      <c r="I166" s="66"/>
      <c r="J166" s="66"/>
      <c r="K166" s="66"/>
      <c r="L166" s="105"/>
      <c r="M166" s="66"/>
      <c r="O166" s="106"/>
    </row>
    <row r="167" spans="1:30" ht="15" customHeight="1">
      <c r="A167" s="63"/>
      <c r="B167" s="8" t="s">
        <v>339</v>
      </c>
      <c r="E167" s="66"/>
      <c r="F167" s="66"/>
      <c r="G167" s="66"/>
      <c r="H167" s="66"/>
      <c r="I167" s="66"/>
      <c r="J167" s="66"/>
      <c r="K167" s="66"/>
      <c r="L167" s="105"/>
      <c r="M167" s="66"/>
      <c r="O167" s="106"/>
    </row>
    <row r="168" spans="1:30" ht="15" customHeight="1">
      <c r="A168" s="63"/>
      <c r="B168" s="8" t="s">
        <v>340</v>
      </c>
      <c r="E168" s="66"/>
      <c r="F168" s="66"/>
      <c r="G168" s="66"/>
      <c r="H168" s="66"/>
      <c r="I168" s="66"/>
      <c r="J168" s="66"/>
      <c r="K168" s="66"/>
      <c r="L168" s="105"/>
      <c r="M168" s="66"/>
      <c r="O168" s="106"/>
    </row>
    <row r="169" spans="1:30" ht="15" customHeight="1">
      <c r="A169" s="63"/>
      <c r="B169" s="8" t="s">
        <v>341</v>
      </c>
      <c r="E169" s="66"/>
      <c r="F169" s="66"/>
      <c r="G169" s="66"/>
      <c r="H169" s="66"/>
      <c r="I169" s="66"/>
      <c r="J169" s="66"/>
      <c r="K169" s="66"/>
      <c r="L169" s="105"/>
      <c r="M169" s="66"/>
      <c r="O169" s="106"/>
    </row>
    <row r="170" spans="1:30" ht="15" customHeight="1">
      <c r="E170" s="98">
        <v>2</v>
      </c>
      <c r="F170" s="66" t="s">
        <v>4</v>
      </c>
      <c r="G170" s="66">
        <v>3</v>
      </c>
      <c r="H170" s="66" t="s">
        <v>4</v>
      </c>
      <c r="I170" s="66">
        <v>7</v>
      </c>
      <c r="J170" s="66" t="s">
        <v>5</v>
      </c>
      <c r="K170" s="66">
        <f>I170*G170*E170</f>
        <v>42</v>
      </c>
      <c r="L170" s="105" t="s">
        <v>10</v>
      </c>
      <c r="M170" s="66"/>
      <c r="O170" s="98" t="s">
        <v>26</v>
      </c>
      <c r="P170" s="8" t="s">
        <v>26</v>
      </c>
      <c r="Q170" s="8" t="s">
        <v>26</v>
      </c>
    </row>
    <row r="171" spans="1:30" ht="15" customHeight="1">
      <c r="E171" s="98">
        <v>1</v>
      </c>
      <c r="F171" s="66" t="s">
        <v>4</v>
      </c>
      <c r="G171" s="66">
        <v>3</v>
      </c>
      <c r="H171" s="66" t="s">
        <v>4</v>
      </c>
      <c r="I171" s="66">
        <f>I170</f>
        <v>7</v>
      </c>
      <c r="J171" s="66" t="s">
        <v>5</v>
      </c>
      <c r="K171" s="66">
        <f t="shared" ref="K171:K180" si="8">I171*G171*E171</f>
        <v>21</v>
      </c>
      <c r="L171" s="105" t="s">
        <v>10</v>
      </c>
      <c r="M171" s="66"/>
      <c r="O171" s="98"/>
    </row>
    <row r="172" spans="1:30" ht="15" customHeight="1">
      <c r="E172" s="98">
        <v>1</v>
      </c>
      <c r="F172" s="66" t="s">
        <v>4</v>
      </c>
      <c r="G172" s="66">
        <v>2.5</v>
      </c>
      <c r="H172" s="66" t="s">
        <v>4</v>
      </c>
      <c r="I172" s="66">
        <f>I171</f>
        <v>7</v>
      </c>
      <c r="J172" s="66" t="s">
        <v>5</v>
      </c>
      <c r="K172" s="66">
        <f t="shared" si="8"/>
        <v>17.5</v>
      </c>
      <c r="L172" s="105" t="s">
        <v>10</v>
      </c>
      <c r="M172" s="66"/>
      <c r="O172" s="98"/>
    </row>
    <row r="173" spans="1:30" ht="15" customHeight="1">
      <c r="E173" s="98">
        <v>1</v>
      </c>
      <c r="F173" s="66" t="s">
        <v>4</v>
      </c>
      <c r="G173" s="66">
        <v>2.91</v>
      </c>
      <c r="H173" s="66"/>
      <c r="I173" s="66">
        <v>4</v>
      </c>
      <c r="J173" s="66" t="s">
        <v>5</v>
      </c>
      <c r="K173" s="66">
        <f t="shared" si="8"/>
        <v>11.64</v>
      </c>
      <c r="L173" s="105" t="s">
        <v>10</v>
      </c>
      <c r="M173" s="66"/>
      <c r="O173" s="98"/>
    </row>
    <row r="174" spans="1:30" ht="15" customHeight="1">
      <c r="E174" s="98">
        <v>1</v>
      </c>
      <c r="F174" s="66" t="s">
        <v>4</v>
      </c>
      <c r="G174" s="66">
        <v>2.25</v>
      </c>
      <c r="H174" s="66" t="s">
        <v>4</v>
      </c>
      <c r="I174" s="66">
        <v>4</v>
      </c>
      <c r="J174" s="66" t="s">
        <v>5</v>
      </c>
      <c r="K174" s="66">
        <f t="shared" si="8"/>
        <v>9</v>
      </c>
      <c r="L174" s="105" t="s">
        <v>10</v>
      </c>
      <c r="M174" s="66"/>
      <c r="O174" s="98"/>
    </row>
    <row r="175" spans="1:30" ht="15" customHeight="1">
      <c r="E175" s="98">
        <v>1</v>
      </c>
      <c r="F175" s="66" t="s">
        <v>4</v>
      </c>
      <c r="G175" s="66">
        <v>2.5</v>
      </c>
      <c r="H175" s="66" t="s">
        <v>4</v>
      </c>
      <c r="I175" s="66">
        <v>4</v>
      </c>
      <c r="J175" s="66" t="s">
        <v>5</v>
      </c>
      <c r="K175" s="66">
        <f t="shared" si="8"/>
        <v>10</v>
      </c>
      <c r="L175" s="105" t="s">
        <v>10</v>
      </c>
      <c r="M175" s="66"/>
      <c r="O175" s="98"/>
    </row>
    <row r="176" spans="1:30" ht="15" customHeight="1">
      <c r="E176" s="98">
        <v>1</v>
      </c>
      <c r="F176" s="66" t="s">
        <v>4</v>
      </c>
      <c r="G176" s="66">
        <v>1.58</v>
      </c>
      <c r="H176" s="66" t="s">
        <v>4</v>
      </c>
      <c r="I176" s="66">
        <v>4</v>
      </c>
      <c r="J176" s="66" t="s">
        <v>5</v>
      </c>
      <c r="K176" s="66">
        <f t="shared" si="8"/>
        <v>6.32</v>
      </c>
      <c r="L176" s="105" t="s">
        <v>10</v>
      </c>
      <c r="M176" s="66"/>
      <c r="O176" s="98" t="s">
        <v>26</v>
      </c>
      <c r="P176" s="8" t="s">
        <v>26</v>
      </c>
      <c r="Q176" s="8" t="s">
        <v>26</v>
      </c>
    </row>
    <row r="177" spans="1:30" ht="15" customHeight="1">
      <c r="E177" s="98">
        <v>1</v>
      </c>
      <c r="F177" s="66" t="s">
        <v>4</v>
      </c>
      <c r="G177" s="66">
        <v>1</v>
      </c>
      <c r="H177" s="66" t="s">
        <v>4</v>
      </c>
      <c r="I177" s="66">
        <v>1.25</v>
      </c>
      <c r="J177" s="66" t="s">
        <v>5</v>
      </c>
      <c r="K177" s="66">
        <f t="shared" si="8"/>
        <v>1.25</v>
      </c>
      <c r="L177" s="105" t="s">
        <v>10</v>
      </c>
      <c r="M177" s="66"/>
      <c r="O177" s="98"/>
    </row>
    <row r="178" spans="1:30" ht="15" customHeight="1">
      <c r="E178" s="98">
        <v>2</v>
      </c>
      <c r="F178" s="66" t="s">
        <v>4</v>
      </c>
      <c r="G178" s="66">
        <v>2.5</v>
      </c>
      <c r="H178" s="66" t="s">
        <v>4</v>
      </c>
      <c r="I178" s="66">
        <v>7</v>
      </c>
      <c r="J178" s="66" t="s">
        <v>5</v>
      </c>
      <c r="K178" s="66">
        <f t="shared" si="8"/>
        <v>35</v>
      </c>
      <c r="L178" s="105" t="s">
        <v>10</v>
      </c>
      <c r="M178" s="66"/>
      <c r="O178" s="98"/>
    </row>
    <row r="179" spans="1:30" ht="15" customHeight="1">
      <c r="E179" s="98">
        <v>1</v>
      </c>
      <c r="F179" s="66" t="s">
        <v>4</v>
      </c>
      <c r="G179" s="66">
        <v>3.5</v>
      </c>
      <c r="H179" s="66" t="s">
        <v>4</v>
      </c>
      <c r="I179" s="66">
        <v>1.75</v>
      </c>
      <c r="J179" s="66" t="s">
        <v>5</v>
      </c>
      <c r="K179" s="66">
        <f t="shared" si="8"/>
        <v>6.125</v>
      </c>
      <c r="L179" s="105" t="s">
        <v>10</v>
      </c>
      <c r="M179" s="66"/>
      <c r="O179" s="98"/>
    </row>
    <row r="180" spans="1:30" ht="15" customHeight="1">
      <c r="E180" s="98">
        <v>1</v>
      </c>
      <c r="F180" s="66" t="s">
        <v>4</v>
      </c>
      <c r="G180" s="66">
        <v>5</v>
      </c>
      <c r="H180" s="66" t="s">
        <v>4</v>
      </c>
      <c r="I180" s="66">
        <v>7</v>
      </c>
      <c r="J180" s="66" t="s">
        <v>5</v>
      </c>
      <c r="K180" s="66">
        <f t="shared" si="8"/>
        <v>35</v>
      </c>
      <c r="L180" s="105" t="s">
        <v>10</v>
      </c>
      <c r="M180" s="66"/>
      <c r="O180" s="98"/>
    </row>
    <row r="181" spans="1:30" ht="15" customHeight="1">
      <c r="E181" s="66"/>
      <c r="F181" s="66"/>
      <c r="G181" s="66"/>
      <c r="H181" s="66"/>
      <c r="I181" s="66"/>
      <c r="J181" s="66"/>
      <c r="K181" s="100">
        <f>SUM(K170:K180)</f>
        <v>194.83500000000001</v>
      </c>
      <c r="L181" s="105" t="s">
        <v>10</v>
      </c>
      <c r="M181" s="66"/>
      <c r="O181" s="98"/>
    </row>
    <row r="182" spans="1:30" ht="15" customHeight="1">
      <c r="B182" s="102">
        <f>K181</f>
        <v>194.83500000000001</v>
      </c>
      <c r="C182" s="103" t="str">
        <f>L181</f>
        <v>Sft</v>
      </c>
      <c r="D182" s="103"/>
      <c r="E182" s="102"/>
      <c r="F182" s="66"/>
      <c r="G182" s="66"/>
      <c r="H182" s="66"/>
      <c r="I182" s="66"/>
      <c r="J182" s="66"/>
      <c r="K182" s="108" t="s">
        <v>32</v>
      </c>
      <c r="L182" s="105">
        <v>1273.76</v>
      </c>
      <c r="M182" s="66" t="s">
        <v>162</v>
      </c>
      <c r="N182" s="8" t="s">
        <v>7</v>
      </c>
      <c r="O182" s="106">
        <f>B182*L182</f>
        <v>248173.02960000001</v>
      </c>
      <c r="AD182" s="8">
        <v>13229</v>
      </c>
    </row>
    <row r="183" spans="1:30" ht="15" customHeight="1">
      <c r="B183" s="111"/>
      <c r="C183" s="112"/>
      <c r="D183" s="112"/>
      <c r="E183" s="111"/>
      <c r="F183" s="66"/>
      <c r="G183" s="66"/>
      <c r="H183" s="66"/>
      <c r="I183" s="66"/>
      <c r="J183" s="66"/>
      <c r="K183" s="108"/>
      <c r="L183" s="105"/>
      <c r="M183" s="66"/>
      <c r="O183" s="106"/>
    </row>
    <row r="184" spans="1:30" ht="15" customHeight="1">
      <c r="A184" s="63">
        <v>8</v>
      </c>
      <c r="B184" s="8" t="s">
        <v>342</v>
      </c>
      <c r="E184" s="66"/>
      <c r="F184" s="66"/>
      <c r="G184" s="66"/>
      <c r="H184" s="66"/>
      <c r="I184" s="66"/>
      <c r="J184" s="66"/>
      <c r="K184" s="66"/>
      <c r="L184" s="105"/>
      <c r="M184" s="66"/>
      <c r="O184" s="106"/>
    </row>
    <row r="185" spans="1:30" ht="15" customHeight="1">
      <c r="A185" s="63"/>
      <c r="B185" s="8" t="s">
        <v>344</v>
      </c>
      <c r="E185" s="66"/>
      <c r="F185" s="66"/>
      <c r="G185" s="66"/>
      <c r="H185" s="66"/>
      <c r="I185" s="66"/>
      <c r="J185" s="66"/>
      <c r="K185" s="66"/>
      <c r="L185" s="105"/>
      <c r="M185" s="66"/>
      <c r="O185" s="106"/>
    </row>
    <row r="186" spans="1:30" ht="15" customHeight="1">
      <c r="E186" s="98">
        <v>1</v>
      </c>
      <c r="F186" s="66" t="s">
        <v>4</v>
      </c>
      <c r="G186" s="66">
        <v>3</v>
      </c>
      <c r="H186" s="66" t="s">
        <v>4</v>
      </c>
      <c r="I186" s="66">
        <v>4</v>
      </c>
      <c r="J186" s="66" t="s">
        <v>5</v>
      </c>
      <c r="K186" s="66">
        <f>I186*G186*E186</f>
        <v>12</v>
      </c>
      <c r="L186" s="105" t="s">
        <v>10</v>
      </c>
      <c r="M186" s="66"/>
      <c r="O186" s="98" t="s">
        <v>26</v>
      </c>
      <c r="P186" s="8" t="s">
        <v>26</v>
      </c>
      <c r="Q186" s="8" t="s">
        <v>26</v>
      </c>
    </row>
    <row r="187" spans="1:30" ht="15" customHeight="1">
      <c r="B187" s="102">
        <f>K186</f>
        <v>12</v>
      </c>
      <c r="C187" s="103" t="s">
        <v>10</v>
      </c>
      <c r="D187" s="103"/>
      <c r="E187" s="173"/>
      <c r="F187" s="66"/>
      <c r="G187" s="66"/>
      <c r="H187" s="66"/>
      <c r="I187" s="66"/>
      <c r="J187" s="66"/>
      <c r="K187" s="108" t="s">
        <v>32</v>
      </c>
      <c r="L187" s="105">
        <v>1778.5</v>
      </c>
      <c r="M187" s="66" t="s">
        <v>162</v>
      </c>
      <c r="N187" s="8" t="s">
        <v>7</v>
      </c>
      <c r="O187" s="106">
        <f>B187*L187</f>
        <v>21342</v>
      </c>
      <c r="AD187" s="8">
        <v>13229</v>
      </c>
    </row>
    <row r="188" spans="1:30" ht="15" customHeight="1">
      <c r="B188" s="114"/>
      <c r="E188" s="98"/>
      <c r="F188" s="66"/>
      <c r="G188" s="66"/>
      <c r="H188" s="66"/>
      <c r="I188" s="66"/>
      <c r="J188" s="66"/>
      <c r="K188" s="66"/>
      <c r="L188" s="105"/>
      <c r="M188" s="66"/>
      <c r="O188" s="106"/>
    </row>
    <row r="189" spans="1:30" ht="15" customHeight="1">
      <c r="A189" s="63">
        <v>8</v>
      </c>
      <c r="B189" s="8" t="s">
        <v>351</v>
      </c>
      <c r="E189" s="98"/>
      <c r="F189" s="66"/>
      <c r="G189" s="66"/>
      <c r="H189" s="66"/>
      <c r="I189" s="66"/>
      <c r="J189" s="66"/>
      <c r="K189" s="66"/>
      <c r="L189" s="105"/>
      <c r="M189" s="66"/>
      <c r="O189" s="106"/>
    </row>
    <row r="190" spans="1:30" ht="15" customHeight="1">
      <c r="A190" s="63"/>
      <c r="B190" s="8" t="s">
        <v>352</v>
      </c>
      <c r="E190" s="98"/>
      <c r="F190" s="66"/>
      <c r="G190" s="66"/>
      <c r="H190" s="66"/>
      <c r="I190" s="66"/>
      <c r="J190" s="66"/>
      <c r="K190" s="66"/>
      <c r="L190" s="105"/>
      <c r="M190" s="66"/>
      <c r="O190" s="106"/>
    </row>
    <row r="191" spans="1:30" ht="15" customHeight="1">
      <c r="B191" s="8" t="s">
        <v>343</v>
      </c>
      <c r="E191" s="98">
        <v>2</v>
      </c>
      <c r="F191" s="66" t="s">
        <v>4</v>
      </c>
      <c r="G191" s="66">
        <v>4.5</v>
      </c>
      <c r="H191" s="66" t="s">
        <v>4</v>
      </c>
      <c r="I191" s="66">
        <v>4</v>
      </c>
      <c r="J191" s="66" t="s">
        <v>5</v>
      </c>
      <c r="K191" s="66">
        <f>I191*G191*E191</f>
        <v>36</v>
      </c>
      <c r="L191" s="105" t="s">
        <v>10</v>
      </c>
      <c r="M191" s="66"/>
      <c r="O191" s="98" t="s">
        <v>26</v>
      </c>
      <c r="P191" s="8" t="s">
        <v>26</v>
      </c>
      <c r="Q191" s="8" t="s">
        <v>26</v>
      </c>
    </row>
    <row r="192" spans="1:30" ht="15" customHeight="1">
      <c r="B192" s="102">
        <f>K191</f>
        <v>36</v>
      </c>
      <c r="C192" s="103" t="s">
        <v>10</v>
      </c>
      <c r="D192" s="103"/>
      <c r="E192" s="173"/>
      <c r="F192" s="66"/>
      <c r="G192" s="66"/>
      <c r="H192" s="66"/>
      <c r="I192" s="66"/>
      <c r="J192" s="66"/>
      <c r="K192" s="108" t="s">
        <v>32</v>
      </c>
      <c r="L192" s="105">
        <v>226.02</v>
      </c>
      <c r="M192" s="66" t="s">
        <v>162</v>
      </c>
      <c r="N192" s="8" t="s">
        <v>7</v>
      </c>
      <c r="O192" s="106">
        <f>B192*L192</f>
        <v>8136.72</v>
      </c>
      <c r="AD192" s="8">
        <v>13229</v>
      </c>
    </row>
    <row r="193" spans="1:30" ht="15" customHeight="1">
      <c r="B193" s="114"/>
      <c r="E193" s="98"/>
      <c r="F193" s="66"/>
      <c r="G193" s="66"/>
      <c r="H193" s="66"/>
      <c r="I193" s="66"/>
      <c r="J193" s="66"/>
      <c r="K193" s="66"/>
      <c r="L193" s="105"/>
      <c r="M193" s="66"/>
      <c r="O193" s="106"/>
    </row>
    <row r="194" spans="1:30" ht="15" customHeight="1">
      <c r="A194" s="63">
        <v>8</v>
      </c>
      <c r="B194" s="8" t="s">
        <v>353</v>
      </c>
      <c r="E194" s="98"/>
      <c r="F194" s="66"/>
      <c r="G194" s="66"/>
      <c r="H194" s="66"/>
      <c r="I194" s="66"/>
      <c r="J194" s="66"/>
      <c r="K194" s="66"/>
      <c r="L194" s="105"/>
      <c r="M194" s="66"/>
      <c r="O194" s="106"/>
    </row>
    <row r="195" spans="1:30" ht="15" customHeight="1">
      <c r="A195" s="63"/>
      <c r="B195" s="8" t="s">
        <v>354</v>
      </c>
      <c r="E195" s="98"/>
      <c r="F195" s="66"/>
      <c r="G195" s="66"/>
      <c r="H195" s="66"/>
      <c r="I195" s="66"/>
      <c r="J195" s="66"/>
      <c r="K195" s="66"/>
      <c r="L195" s="105"/>
      <c r="M195" s="66"/>
      <c r="O195" s="106"/>
    </row>
    <row r="196" spans="1:30" ht="15" customHeight="1">
      <c r="E196" s="98">
        <v>1</v>
      </c>
      <c r="F196" s="66" t="s">
        <v>4</v>
      </c>
      <c r="G196" s="66">
        <v>2.5</v>
      </c>
      <c r="H196" s="66" t="s">
        <v>4</v>
      </c>
      <c r="I196" s="66">
        <v>4</v>
      </c>
      <c r="J196" s="66" t="s">
        <v>5</v>
      </c>
      <c r="K196" s="66">
        <f>I196*G196*E196</f>
        <v>10</v>
      </c>
      <c r="L196" s="105" t="s">
        <v>10</v>
      </c>
      <c r="M196" s="66"/>
      <c r="O196" s="98" t="s">
        <v>26</v>
      </c>
      <c r="P196" s="8" t="s">
        <v>26</v>
      </c>
      <c r="Q196" s="8" t="s">
        <v>26</v>
      </c>
    </row>
    <row r="197" spans="1:30" ht="15" customHeight="1">
      <c r="E197" s="98">
        <v>1</v>
      </c>
      <c r="F197" s="66" t="s">
        <v>4</v>
      </c>
      <c r="G197" s="66">
        <v>2.25</v>
      </c>
      <c r="H197" s="66" t="s">
        <v>4</v>
      </c>
      <c r="I197" s="66">
        <v>4</v>
      </c>
      <c r="J197" s="66" t="s">
        <v>5</v>
      </c>
      <c r="K197" s="66">
        <f>E197*G197*I197</f>
        <v>9</v>
      </c>
      <c r="L197" s="105" t="s">
        <v>10</v>
      </c>
      <c r="M197" s="66"/>
      <c r="O197" s="98" t="s">
        <v>26</v>
      </c>
      <c r="P197" s="8" t="s">
        <v>26</v>
      </c>
      <c r="Q197" s="8" t="s">
        <v>26</v>
      </c>
    </row>
    <row r="198" spans="1:30" ht="15" customHeight="1">
      <c r="E198" s="98">
        <v>1</v>
      </c>
      <c r="F198" s="66" t="s">
        <v>4</v>
      </c>
      <c r="G198" s="66">
        <v>1.58</v>
      </c>
      <c r="H198" s="66" t="s">
        <v>4</v>
      </c>
      <c r="I198" s="66">
        <v>4</v>
      </c>
      <c r="J198" s="66" t="s">
        <v>5</v>
      </c>
      <c r="K198" s="66">
        <f>E198*G198*I198</f>
        <v>6.32</v>
      </c>
      <c r="L198" s="105" t="s">
        <v>10</v>
      </c>
      <c r="M198" s="66"/>
      <c r="O198" s="98" t="s">
        <v>26</v>
      </c>
      <c r="P198" s="8" t="s">
        <v>26</v>
      </c>
      <c r="Q198" s="8" t="s">
        <v>26</v>
      </c>
    </row>
    <row r="199" spans="1:30" ht="15" customHeight="1">
      <c r="E199" s="98"/>
      <c r="F199" s="66"/>
      <c r="G199" s="66"/>
      <c r="H199" s="66"/>
      <c r="I199" s="66"/>
      <c r="J199" s="66"/>
      <c r="K199" s="100">
        <f>SUM(K196:K198)</f>
        <v>25.32</v>
      </c>
      <c r="L199" s="105" t="s">
        <v>10</v>
      </c>
      <c r="M199" s="66"/>
      <c r="O199" s="98"/>
    </row>
    <row r="200" spans="1:30" ht="15" customHeight="1">
      <c r="B200" s="102">
        <f>K199</f>
        <v>25.32</v>
      </c>
      <c r="C200" s="103" t="str">
        <f>L199</f>
        <v>Sft</v>
      </c>
      <c r="D200" s="103"/>
      <c r="E200" s="102"/>
      <c r="F200" s="66"/>
      <c r="G200" s="66"/>
      <c r="H200" s="66"/>
      <c r="I200" s="66"/>
      <c r="J200" s="66"/>
      <c r="K200" s="108" t="s">
        <v>32</v>
      </c>
      <c r="L200" s="105">
        <v>190.72</v>
      </c>
      <c r="M200" s="66" t="s">
        <v>162</v>
      </c>
      <c r="N200" s="8" t="s">
        <v>7</v>
      </c>
      <c r="O200" s="106">
        <f>B200*L200</f>
        <v>4829.0303999999996</v>
      </c>
      <c r="AD200" s="8">
        <v>13229</v>
      </c>
    </row>
    <row r="201" spans="1:30" ht="15" customHeight="1">
      <c r="B201" s="114"/>
      <c r="E201" s="66"/>
      <c r="F201" s="66"/>
      <c r="G201" s="66"/>
      <c r="H201" s="66"/>
      <c r="I201" s="66"/>
      <c r="J201" s="66"/>
      <c r="K201" s="66"/>
      <c r="L201" s="105"/>
      <c r="M201" s="66"/>
      <c r="O201" s="106"/>
    </row>
    <row r="202" spans="1:30" ht="15" customHeight="1">
      <c r="A202" s="8">
        <v>2</v>
      </c>
      <c r="B202" s="8" t="s">
        <v>128</v>
      </c>
      <c r="E202" s="66"/>
      <c r="F202" s="66"/>
      <c r="G202" s="66"/>
      <c r="H202" s="66"/>
      <c r="I202" s="66"/>
      <c r="J202" s="66"/>
      <c r="K202" s="66"/>
      <c r="L202" s="105"/>
      <c r="M202" s="66"/>
      <c r="O202" s="106"/>
    </row>
    <row r="203" spans="1:30" ht="15" customHeight="1">
      <c r="B203" s="8" t="s">
        <v>129</v>
      </c>
      <c r="E203" s="66"/>
      <c r="F203" s="66"/>
      <c r="G203" s="66"/>
      <c r="H203" s="66"/>
      <c r="I203" s="66"/>
      <c r="J203" s="66"/>
      <c r="K203" s="66"/>
      <c r="L203" s="105"/>
      <c r="M203" s="66"/>
      <c r="O203" s="106"/>
    </row>
    <row r="204" spans="1:30" ht="15" customHeight="1">
      <c r="C204" s="8">
        <v>1</v>
      </c>
      <c r="D204" s="8" t="s">
        <v>4</v>
      </c>
      <c r="E204" s="66">
        <v>14.62</v>
      </c>
      <c r="F204" s="66" t="s">
        <v>4</v>
      </c>
      <c r="G204" s="66">
        <v>6.62</v>
      </c>
      <c r="H204" s="66" t="s">
        <v>4</v>
      </c>
      <c r="I204" s="66">
        <v>0.25</v>
      </c>
      <c r="J204" s="66" t="s">
        <v>5</v>
      </c>
      <c r="K204" s="66">
        <f>I204*G204*E204*C204</f>
        <v>24.196099999999998</v>
      </c>
      <c r="L204" s="105" t="s">
        <v>37</v>
      </c>
      <c r="M204" s="66"/>
      <c r="O204" s="98" t="s">
        <v>26</v>
      </c>
      <c r="P204" s="8" t="s">
        <v>26</v>
      </c>
      <c r="Q204" s="8" t="s">
        <v>26</v>
      </c>
    </row>
    <row r="205" spans="1:30" ht="15" customHeight="1">
      <c r="C205" s="8">
        <v>1</v>
      </c>
      <c r="D205" s="8" t="s">
        <v>4</v>
      </c>
      <c r="E205" s="66">
        <v>9.6199999999999992</v>
      </c>
      <c r="F205" s="66" t="s">
        <v>4</v>
      </c>
      <c r="G205" s="66">
        <v>11.62</v>
      </c>
      <c r="H205" s="66" t="s">
        <v>4</v>
      </c>
      <c r="I205" s="66">
        <f>I204</f>
        <v>0.25</v>
      </c>
      <c r="J205" s="66" t="s">
        <v>5</v>
      </c>
      <c r="K205" s="66">
        <f>I205*G205*E205*C205</f>
        <v>27.946099999999994</v>
      </c>
      <c r="L205" s="105" t="s">
        <v>37</v>
      </c>
      <c r="M205" s="66"/>
      <c r="O205" s="98"/>
    </row>
    <row r="206" spans="1:30" ht="15" customHeight="1">
      <c r="C206" s="8">
        <v>1</v>
      </c>
      <c r="D206" s="8" t="s">
        <v>4</v>
      </c>
      <c r="E206" s="66">
        <v>3.62</v>
      </c>
      <c r="F206" s="66" t="s">
        <v>4</v>
      </c>
      <c r="G206" s="66">
        <v>3.43</v>
      </c>
      <c r="H206" s="66" t="s">
        <v>4</v>
      </c>
      <c r="I206" s="66">
        <f>I205</f>
        <v>0.25</v>
      </c>
      <c r="J206" s="66" t="s">
        <v>5</v>
      </c>
      <c r="K206" s="66">
        <f>I206*G206*E206*C206</f>
        <v>3.1041500000000002</v>
      </c>
      <c r="L206" s="105" t="s">
        <v>37</v>
      </c>
      <c r="M206" s="66"/>
      <c r="O206" s="98"/>
    </row>
    <row r="207" spans="1:30" ht="15" customHeight="1">
      <c r="C207" s="8">
        <v>1</v>
      </c>
      <c r="D207" s="8" t="s">
        <v>4</v>
      </c>
      <c r="E207" s="66">
        <v>3.62</v>
      </c>
      <c r="F207" s="66" t="s">
        <v>4</v>
      </c>
      <c r="G207" s="66">
        <v>3.43</v>
      </c>
      <c r="H207" s="66"/>
      <c r="I207" s="66">
        <f>I206</f>
        <v>0.25</v>
      </c>
      <c r="J207" s="66" t="s">
        <v>5</v>
      </c>
      <c r="K207" s="66">
        <f>I207*G207*E207*C207</f>
        <v>3.1041500000000002</v>
      </c>
      <c r="L207" s="105" t="s">
        <v>37</v>
      </c>
      <c r="M207" s="66"/>
      <c r="O207" s="98"/>
    </row>
    <row r="208" spans="1:30" ht="15" customHeight="1">
      <c r="C208" s="8">
        <v>1</v>
      </c>
      <c r="D208" s="8" t="s">
        <v>4</v>
      </c>
      <c r="E208" s="66">
        <v>3.62</v>
      </c>
      <c r="F208" s="66" t="s">
        <v>4</v>
      </c>
      <c r="G208" s="66">
        <v>3.43</v>
      </c>
      <c r="H208" s="66" t="s">
        <v>4</v>
      </c>
      <c r="I208" s="66">
        <v>0.25</v>
      </c>
      <c r="J208" s="66" t="s">
        <v>5</v>
      </c>
      <c r="K208" s="66">
        <f>I208*G208*E208*C208</f>
        <v>3.1041500000000002</v>
      </c>
      <c r="L208" s="105" t="s">
        <v>37</v>
      </c>
      <c r="M208" s="66"/>
      <c r="O208" s="98"/>
    </row>
    <row r="209" spans="1:30" ht="15" customHeight="1">
      <c r="E209" s="66"/>
      <c r="F209" s="66"/>
      <c r="G209" s="66"/>
      <c r="H209" s="66"/>
      <c r="I209" s="66"/>
      <c r="J209" s="66"/>
      <c r="K209" s="100">
        <f>SUM(K204:K208)</f>
        <v>61.45464999999998</v>
      </c>
      <c r="L209" s="172" t="s">
        <v>37</v>
      </c>
      <c r="M209" s="66"/>
      <c r="O209" s="98"/>
    </row>
    <row r="210" spans="1:30" ht="15" customHeight="1">
      <c r="B210" s="102">
        <f>K209</f>
        <v>61.45464999999998</v>
      </c>
      <c r="C210" s="103" t="s">
        <v>8</v>
      </c>
      <c r="D210" s="103"/>
      <c r="E210" s="102"/>
      <c r="F210" s="66"/>
      <c r="G210" s="66"/>
      <c r="H210" s="66"/>
      <c r="I210" s="66"/>
      <c r="J210" s="66"/>
      <c r="K210" s="108" t="str">
        <f>K200</f>
        <v xml:space="preserve"> @Rs:</v>
      </c>
      <c r="L210" s="105">
        <v>9416.2800000000007</v>
      </c>
      <c r="M210" s="66" t="s">
        <v>14</v>
      </c>
      <c r="N210" s="8" t="s">
        <v>31</v>
      </c>
      <c r="O210" s="106">
        <f>B210*L210/100</f>
        <v>5786.7419170199983</v>
      </c>
    </row>
    <row r="211" spans="1:30" ht="15" customHeight="1">
      <c r="E211" s="66"/>
      <c r="F211" s="66"/>
      <c r="G211" s="66"/>
      <c r="H211" s="66"/>
      <c r="I211" s="66"/>
      <c r="J211" s="66"/>
      <c r="K211" s="66"/>
      <c r="L211" s="105"/>
      <c r="M211" s="66"/>
      <c r="O211" s="106"/>
    </row>
    <row r="212" spans="1:30" ht="15" customHeight="1">
      <c r="B212" s="102"/>
      <c r="C212" s="103"/>
      <c r="D212" s="103"/>
      <c r="E212" s="102"/>
      <c r="F212" s="66"/>
      <c r="G212" s="66"/>
      <c r="H212" s="66"/>
      <c r="I212" s="66"/>
      <c r="J212" s="66"/>
      <c r="K212" s="108"/>
      <c r="L212" s="105"/>
      <c r="M212" s="66"/>
      <c r="O212" s="106"/>
    </row>
    <row r="213" spans="1:30" ht="15" customHeight="1">
      <c r="E213" s="66"/>
      <c r="F213" s="66"/>
      <c r="G213" s="66"/>
      <c r="H213" s="66"/>
      <c r="I213" s="66"/>
      <c r="J213" s="66"/>
      <c r="K213" s="66"/>
      <c r="L213" s="105"/>
      <c r="M213" s="66"/>
      <c r="O213" s="106"/>
    </row>
    <row r="214" spans="1:30" ht="15" customHeight="1">
      <c r="A214" s="115">
        <v>9</v>
      </c>
      <c r="B214" s="8" t="s">
        <v>356</v>
      </c>
      <c r="E214" s="66"/>
      <c r="F214" s="66"/>
      <c r="G214" s="66"/>
      <c r="H214" s="66"/>
      <c r="I214" s="66"/>
      <c r="J214" s="66"/>
      <c r="K214" s="66"/>
      <c r="L214" s="105"/>
      <c r="M214" s="66"/>
      <c r="O214" s="106"/>
    </row>
    <row r="215" spans="1:30" ht="15" customHeight="1">
      <c r="A215" s="115"/>
      <c r="B215" s="8" t="s">
        <v>355</v>
      </c>
      <c r="E215" s="66"/>
      <c r="F215" s="66"/>
      <c r="G215" s="66"/>
      <c r="H215" s="66"/>
      <c r="I215" s="66"/>
      <c r="J215" s="66"/>
      <c r="K215" s="66"/>
      <c r="L215" s="105"/>
      <c r="M215" s="66"/>
      <c r="O215" s="106"/>
    </row>
    <row r="216" spans="1:30" ht="15" customHeight="1">
      <c r="B216" s="8" t="s">
        <v>357</v>
      </c>
      <c r="E216" s="98">
        <v>1</v>
      </c>
      <c r="F216" s="66" t="s">
        <v>4</v>
      </c>
      <c r="G216" s="66">
        <v>10</v>
      </c>
      <c r="H216" s="66" t="s">
        <v>4</v>
      </c>
      <c r="I216" s="66">
        <v>7</v>
      </c>
      <c r="J216" s="66" t="s">
        <v>5</v>
      </c>
      <c r="K216" s="66">
        <f>E216*G216*I216</f>
        <v>70</v>
      </c>
      <c r="L216" s="105" t="s">
        <v>10</v>
      </c>
      <c r="M216" s="66"/>
      <c r="O216" s="98" t="s">
        <v>26</v>
      </c>
      <c r="P216" s="8" t="s">
        <v>26</v>
      </c>
      <c r="Q216" s="8" t="s">
        <v>26</v>
      </c>
    </row>
    <row r="217" spans="1:30" ht="15" customHeight="1">
      <c r="E217" s="98">
        <v>1</v>
      </c>
      <c r="F217" s="66" t="s">
        <v>4</v>
      </c>
      <c r="G217" s="66">
        <v>10</v>
      </c>
      <c r="H217" s="66" t="s">
        <v>4</v>
      </c>
      <c r="I217" s="66">
        <v>12</v>
      </c>
      <c r="J217" s="66" t="s">
        <v>5</v>
      </c>
      <c r="K217" s="66">
        <f>E217*G217*I217</f>
        <v>120</v>
      </c>
      <c r="L217" s="105" t="s">
        <v>10</v>
      </c>
      <c r="M217" s="66"/>
      <c r="O217" s="98" t="s">
        <v>26</v>
      </c>
      <c r="P217" s="8" t="s">
        <v>26</v>
      </c>
      <c r="Q217" s="8" t="s">
        <v>26</v>
      </c>
    </row>
    <row r="218" spans="1:30" ht="15" customHeight="1">
      <c r="E218" s="98">
        <v>1</v>
      </c>
      <c r="F218" s="66" t="s">
        <v>4</v>
      </c>
      <c r="G218" s="66">
        <v>4</v>
      </c>
      <c r="H218" s="66" t="s">
        <v>4</v>
      </c>
      <c r="I218" s="66">
        <v>7</v>
      </c>
      <c r="J218" s="66" t="s">
        <v>5</v>
      </c>
      <c r="K218" s="66">
        <f>E218*G218*I218</f>
        <v>28</v>
      </c>
      <c r="L218" s="105" t="s">
        <v>10</v>
      </c>
      <c r="M218" s="66"/>
      <c r="O218" s="98" t="s">
        <v>26</v>
      </c>
      <c r="P218" s="8" t="s">
        <v>26</v>
      </c>
      <c r="Q218" s="8" t="s">
        <v>26</v>
      </c>
    </row>
    <row r="219" spans="1:30" ht="15" customHeight="1">
      <c r="E219" s="98">
        <v>1</v>
      </c>
      <c r="F219" s="66" t="s">
        <v>4</v>
      </c>
      <c r="G219" s="66">
        <v>4</v>
      </c>
      <c r="H219" s="66" t="s">
        <v>4</v>
      </c>
      <c r="I219" s="66">
        <v>4</v>
      </c>
      <c r="J219" s="66" t="s">
        <v>5</v>
      </c>
      <c r="K219" s="66">
        <f>E219*G219*I219</f>
        <v>16</v>
      </c>
      <c r="L219" s="105" t="s">
        <v>10</v>
      </c>
      <c r="M219" s="66"/>
      <c r="O219" s="98" t="s">
        <v>26</v>
      </c>
      <c r="P219" s="8" t="s">
        <v>26</v>
      </c>
      <c r="Q219" s="8" t="s">
        <v>26</v>
      </c>
    </row>
    <row r="220" spans="1:30" ht="15" customHeight="1">
      <c r="E220" s="98">
        <v>1</v>
      </c>
      <c r="F220" s="66" t="s">
        <v>4</v>
      </c>
      <c r="G220" s="66">
        <v>4</v>
      </c>
      <c r="H220" s="66" t="s">
        <v>4</v>
      </c>
      <c r="I220" s="66">
        <v>3.5</v>
      </c>
      <c r="J220" s="66" t="s">
        <v>5</v>
      </c>
      <c r="K220" s="66">
        <f>E220*G220*I220</f>
        <v>14</v>
      </c>
      <c r="L220" s="105" t="s">
        <v>10</v>
      </c>
      <c r="M220" s="66"/>
      <c r="O220" s="98" t="s">
        <v>26</v>
      </c>
      <c r="P220" s="8" t="s">
        <v>26</v>
      </c>
      <c r="Q220" s="8" t="s">
        <v>26</v>
      </c>
    </row>
    <row r="221" spans="1:30" ht="15" customHeight="1">
      <c r="E221" s="66"/>
      <c r="F221" s="66"/>
      <c r="G221" s="66"/>
      <c r="H221" s="66"/>
      <c r="I221" s="66"/>
      <c r="J221" s="66"/>
      <c r="K221" s="100">
        <f>SUM(K216:K220)</f>
        <v>248</v>
      </c>
      <c r="L221" s="105" t="s">
        <v>10</v>
      </c>
      <c r="M221" s="66"/>
      <c r="O221" s="98"/>
    </row>
    <row r="222" spans="1:30" ht="15" customHeight="1">
      <c r="B222" s="102">
        <f>K221</f>
        <v>248</v>
      </c>
      <c r="C222" s="103" t="s">
        <v>10</v>
      </c>
      <c r="D222" s="103"/>
      <c r="E222" s="102" t="str">
        <f>B216</f>
        <v>3" thick</v>
      </c>
      <c r="F222" s="66"/>
      <c r="G222" s="66"/>
      <c r="H222" s="66"/>
      <c r="I222" s="66"/>
      <c r="J222" s="66"/>
      <c r="K222" s="108" t="str">
        <f>K164</f>
        <v xml:space="preserve"> @Rs:</v>
      </c>
      <c r="L222" s="105">
        <v>4411.82</v>
      </c>
      <c r="M222" s="66" t="s">
        <v>9</v>
      </c>
      <c r="N222" s="8" t="s">
        <v>31</v>
      </c>
      <c r="O222" s="106">
        <f>B222*L222/100</f>
        <v>10941.313599999999</v>
      </c>
      <c r="AD222" s="8">
        <v>5294</v>
      </c>
    </row>
    <row r="223" spans="1:30" ht="15" customHeight="1">
      <c r="E223" s="66"/>
      <c r="F223" s="66"/>
      <c r="G223" s="66"/>
      <c r="H223" s="66"/>
      <c r="I223" s="66"/>
      <c r="J223" s="66"/>
      <c r="K223" s="66"/>
      <c r="L223" s="105"/>
      <c r="M223" s="66"/>
      <c r="O223" s="106"/>
    </row>
    <row r="224" spans="1:30" ht="15" customHeight="1">
      <c r="A224" s="115">
        <v>9</v>
      </c>
      <c r="B224" s="8" t="s">
        <v>345</v>
      </c>
      <c r="E224" s="66"/>
      <c r="F224" s="66"/>
      <c r="G224" s="66"/>
      <c r="H224" s="66"/>
      <c r="I224" s="66"/>
      <c r="J224" s="66"/>
      <c r="K224" s="66"/>
      <c r="L224" s="105"/>
      <c r="M224" s="66"/>
      <c r="O224" s="106"/>
    </row>
    <row r="225" spans="1:30" ht="15" customHeight="1">
      <c r="A225" s="115"/>
      <c r="B225" s="8" t="s">
        <v>346</v>
      </c>
      <c r="E225" s="66"/>
      <c r="F225" s="66"/>
      <c r="G225" s="66"/>
      <c r="H225" s="66"/>
      <c r="I225" s="66"/>
      <c r="J225" s="66"/>
      <c r="K225" s="66"/>
      <c r="L225" s="105"/>
      <c r="M225" s="66"/>
      <c r="O225" s="106"/>
    </row>
    <row r="226" spans="1:30" ht="15" customHeight="1">
      <c r="A226" s="115"/>
      <c r="B226" s="8" t="s">
        <v>358</v>
      </c>
      <c r="E226" s="66"/>
      <c r="F226" s="66"/>
      <c r="G226" s="66"/>
      <c r="H226" s="66"/>
      <c r="I226" s="66"/>
      <c r="J226" s="66"/>
      <c r="K226" s="66"/>
      <c r="L226" s="105"/>
      <c r="M226" s="66"/>
      <c r="O226" s="106"/>
    </row>
    <row r="227" spans="1:30" ht="15" customHeight="1">
      <c r="E227" s="98">
        <v>1</v>
      </c>
      <c r="F227" s="66" t="s">
        <v>4</v>
      </c>
      <c r="G227" s="66">
        <v>20.28</v>
      </c>
      <c r="H227" s="66" t="s">
        <v>4</v>
      </c>
      <c r="I227" s="66">
        <v>16.38</v>
      </c>
      <c r="J227" s="66" t="s">
        <v>5</v>
      </c>
      <c r="K227" s="66">
        <f>E227*G227*I227</f>
        <v>332.18639999999999</v>
      </c>
      <c r="L227" s="105" t="s">
        <v>10</v>
      </c>
      <c r="M227" s="66"/>
      <c r="O227" s="98" t="s">
        <v>26</v>
      </c>
      <c r="P227" s="8" t="s">
        <v>26</v>
      </c>
      <c r="Q227" s="8" t="s">
        <v>26</v>
      </c>
    </row>
    <row r="228" spans="1:30" ht="15" customHeight="1">
      <c r="E228" s="98">
        <v>1</v>
      </c>
      <c r="F228" s="66" t="s">
        <v>4</v>
      </c>
      <c r="G228" s="66">
        <v>9.6199999999999992</v>
      </c>
      <c r="H228" s="66" t="s">
        <v>4</v>
      </c>
      <c r="I228" s="66">
        <v>3.31</v>
      </c>
      <c r="J228" s="66" t="s">
        <v>5</v>
      </c>
      <c r="K228" s="66">
        <f>E228*G228*I228</f>
        <v>31.842199999999998</v>
      </c>
      <c r="L228" s="105" t="s">
        <v>10</v>
      </c>
      <c r="M228" s="66"/>
      <c r="O228" s="98" t="s">
        <v>26</v>
      </c>
      <c r="P228" s="8" t="s">
        <v>26</v>
      </c>
      <c r="Q228" s="8" t="s">
        <v>26</v>
      </c>
    </row>
    <row r="229" spans="1:30" ht="15" customHeight="1">
      <c r="E229" s="98">
        <v>1</v>
      </c>
      <c r="F229" s="66" t="s">
        <v>4</v>
      </c>
      <c r="G229" s="66">
        <v>4</v>
      </c>
      <c r="H229" s="66" t="s">
        <v>4</v>
      </c>
      <c r="I229" s="66">
        <v>4</v>
      </c>
      <c r="J229" s="66" t="s">
        <v>5</v>
      </c>
      <c r="K229" s="66">
        <f>E229*G229*I229</f>
        <v>16</v>
      </c>
      <c r="L229" s="105" t="s">
        <v>10</v>
      </c>
      <c r="M229" s="66"/>
      <c r="O229" s="98" t="s">
        <v>26</v>
      </c>
      <c r="P229" s="8" t="s">
        <v>26</v>
      </c>
      <c r="Q229" s="8" t="s">
        <v>26</v>
      </c>
    </row>
    <row r="230" spans="1:30" ht="15" customHeight="1">
      <c r="E230" s="98"/>
      <c r="F230" s="66"/>
      <c r="G230" s="66"/>
      <c r="H230" s="66"/>
      <c r="I230" s="66"/>
      <c r="J230" s="66"/>
      <c r="K230" s="100">
        <f>SUM(K227:K229)</f>
        <v>380.02859999999998</v>
      </c>
      <c r="L230" s="105" t="s">
        <v>10</v>
      </c>
      <c r="M230" s="66"/>
      <c r="O230" s="98"/>
    </row>
    <row r="231" spans="1:30" ht="15" customHeight="1">
      <c r="B231" s="102">
        <f>K230</f>
        <v>380.02859999999998</v>
      </c>
      <c r="C231" s="103" t="s">
        <v>10</v>
      </c>
      <c r="D231" s="103"/>
      <c r="E231" s="173"/>
      <c r="F231" s="66"/>
      <c r="G231" s="66"/>
      <c r="H231" s="66"/>
      <c r="I231" s="66"/>
      <c r="J231" s="66"/>
      <c r="K231" s="108" t="s">
        <v>32</v>
      </c>
      <c r="L231" s="105">
        <v>3823.57</v>
      </c>
      <c r="M231" s="66" t="s">
        <v>9</v>
      </c>
      <c r="N231" s="8" t="s">
        <v>31</v>
      </c>
      <c r="O231" s="106">
        <f>B231*L231/100</f>
        <v>14530.659541020001</v>
      </c>
      <c r="AD231" s="8">
        <v>5294</v>
      </c>
    </row>
    <row r="232" spans="1:30" ht="15" customHeight="1">
      <c r="E232" s="98"/>
      <c r="F232" s="66"/>
      <c r="G232" s="66"/>
      <c r="H232" s="66"/>
      <c r="I232" s="66"/>
      <c r="J232" s="66"/>
      <c r="K232" s="66"/>
      <c r="L232" s="105"/>
      <c r="M232" s="66"/>
      <c r="O232" s="106"/>
    </row>
    <row r="233" spans="1:30" ht="15" customHeight="1">
      <c r="A233" s="115">
        <v>9</v>
      </c>
      <c r="B233" s="8" t="s">
        <v>359</v>
      </c>
      <c r="E233" s="98"/>
      <c r="F233" s="66"/>
      <c r="G233" s="66"/>
      <c r="H233" s="66"/>
      <c r="I233" s="66"/>
      <c r="J233" s="66"/>
      <c r="K233" s="66"/>
      <c r="L233" s="105"/>
      <c r="M233" s="66"/>
      <c r="O233" s="106"/>
    </row>
    <row r="234" spans="1:30" ht="15" customHeight="1">
      <c r="E234" s="98">
        <v>1</v>
      </c>
      <c r="F234" s="66" t="s">
        <v>4</v>
      </c>
      <c r="G234" s="66">
        <v>3</v>
      </c>
      <c r="H234" s="66" t="s">
        <v>4</v>
      </c>
      <c r="I234" s="66">
        <v>5</v>
      </c>
      <c r="J234" s="66" t="s">
        <v>5</v>
      </c>
      <c r="K234" s="66">
        <f>E234*G234*I234</f>
        <v>15</v>
      </c>
      <c r="L234" s="105" t="s">
        <v>347</v>
      </c>
      <c r="M234" s="66"/>
      <c r="O234" s="98" t="s">
        <v>26</v>
      </c>
      <c r="P234" s="8" t="s">
        <v>26</v>
      </c>
      <c r="Q234" s="8" t="s">
        <v>26</v>
      </c>
    </row>
    <row r="235" spans="1:30" ht="15" customHeight="1">
      <c r="B235" s="102">
        <f>K234</f>
        <v>15</v>
      </c>
      <c r="C235" s="103" t="s">
        <v>347</v>
      </c>
      <c r="D235" s="103"/>
      <c r="E235" s="102"/>
      <c r="F235" s="66"/>
      <c r="G235" s="66"/>
      <c r="H235" s="66"/>
      <c r="I235" s="66"/>
      <c r="J235" s="66"/>
      <c r="K235" s="108" t="s">
        <v>32</v>
      </c>
      <c r="L235" s="105">
        <v>28.23</v>
      </c>
      <c r="M235" s="66" t="s">
        <v>348</v>
      </c>
      <c r="N235" s="8" t="s">
        <v>31</v>
      </c>
      <c r="O235" s="106">
        <f>B235*L235</f>
        <v>423.45</v>
      </c>
      <c r="AD235" s="8">
        <v>5294</v>
      </c>
    </row>
    <row r="236" spans="1:30" ht="15" customHeight="1">
      <c r="E236" s="66"/>
      <c r="F236" s="66"/>
      <c r="G236" s="66"/>
      <c r="H236" s="66"/>
      <c r="I236" s="66"/>
      <c r="J236" s="66"/>
      <c r="K236" s="66"/>
      <c r="L236" s="105"/>
      <c r="M236" s="66"/>
      <c r="O236" s="106"/>
    </row>
    <row r="237" spans="1:30" ht="15" customHeight="1">
      <c r="A237" s="8">
        <v>10</v>
      </c>
      <c r="B237" s="8" t="s">
        <v>155</v>
      </c>
      <c r="E237" s="66"/>
      <c r="F237" s="66"/>
      <c r="G237" s="66"/>
      <c r="H237" s="66"/>
      <c r="I237" s="66"/>
      <c r="J237" s="66"/>
      <c r="K237" s="66"/>
      <c r="L237" s="105"/>
      <c r="M237" s="66"/>
      <c r="O237" s="106"/>
    </row>
    <row r="238" spans="1:30" ht="15" customHeight="1">
      <c r="C238" s="8">
        <v>2</v>
      </c>
      <c r="D238" s="8" t="s">
        <v>349</v>
      </c>
      <c r="E238" s="114">
        <v>10</v>
      </c>
      <c r="F238" s="114" t="s">
        <v>215</v>
      </c>
      <c r="G238" s="114">
        <v>7</v>
      </c>
      <c r="H238" s="66" t="s">
        <v>350</v>
      </c>
      <c r="I238" s="66">
        <v>9.6199999999999992</v>
      </c>
      <c r="J238" s="66"/>
      <c r="K238" s="66"/>
      <c r="L238" s="105" t="s">
        <v>38</v>
      </c>
      <c r="M238" s="66">
        <f>(E238+G238)*C238*I238</f>
        <v>327.08</v>
      </c>
      <c r="N238" s="8" t="s">
        <v>10</v>
      </c>
      <c r="O238" s="106"/>
    </row>
    <row r="239" spans="1:30" ht="15" customHeight="1">
      <c r="C239" s="8">
        <v>2</v>
      </c>
      <c r="D239" s="8" t="s">
        <v>349</v>
      </c>
      <c r="E239" s="114">
        <v>10</v>
      </c>
      <c r="F239" s="114" t="s">
        <v>215</v>
      </c>
      <c r="G239" s="114">
        <v>12</v>
      </c>
      <c r="H239" s="66" t="s">
        <v>350</v>
      </c>
      <c r="I239" s="66">
        <v>11.62</v>
      </c>
      <c r="J239" s="66"/>
      <c r="K239" s="66"/>
      <c r="L239" s="105" t="s">
        <v>38</v>
      </c>
      <c r="M239" s="66">
        <f>(E239+G239)*C239*I239</f>
        <v>511.28</v>
      </c>
      <c r="N239" s="8" t="s">
        <v>10</v>
      </c>
      <c r="O239" s="106"/>
    </row>
    <row r="240" spans="1:30" ht="15" customHeight="1">
      <c r="C240" s="8">
        <v>2</v>
      </c>
      <c r="D240" s="8" t="s">
        <v>349</v>
      </c>
      <c r="E240" s="114">
        <v>4</v>
      </c>
      <c r="F240" s="114" t="s">
        <v>215</v>
      </c>
      <c r="G240" s="114">
        <v>7</v>
      </c>
      <c r="H240" s="66" t="s">
        <v>350</v>
      </c>
      <c r="I240" s="66">
        <v>9.6199999999999992</v>
      </c>
      <c r="J240" s="66"/>
      <c r="K240" s="66"/>
      <c r="L240" s="105" t="s">
        <v>38</v>
      </c>
      <c r="M240" s="66">
        <f>(E240+G240)*C240*I240</f>
        <v>211.64</v>
      </c>
      <c r="N240" s="8" t="s">
        <v>10</v>
      </c>
      <c r="O240" s="106"/>
    </row>
    <row r="241" spans="3:15" ht="15" customHeight="1">
      <c r="C241" s="8">
        <v>2</v>
      </c>
      <c r="D241" s="8" t="s">
        <v>349</v>
      </c>
      <c r="E241" s="114">
        <v>4</v>
      </c>
      <c r="F241" s="114" t="s">
        <v>215</v>
      </c>
      <c r="G241" s="114">
        <v>4</v>
      </c>
      <c r="H241" s="66" t="s">
        <v>350</v>
      </c>
      <c r="I241" s="66">
        <v>9.6199999999999992</v>
      </c>
      <c r="J241" s="66"/>
      <c r="K241" s="66"/>
      <c r="L241" s="105" t="s">
        <v>38</v>
      </c>
      <c r="M241" s="66">
        <f>(E241+G241)*C241*I241</f>
        <v>153.91999999999999</v>
      </c>
      <c r="N241" s="8" t="s">
        <v>10</v>
      </c>
      <c r="O241" s="106"/>
    </row>
    <row r="242" spans="3:15" ht="15" customHeight="1">
      <c r="C242" s="8">
        <v>1</v>
      </c>
      <c r="D242" s="8" t="s">
        <v>349</v>
      </c>
      <c r="E242" s="114">
        <v>4</v>
      </c>
      <c r="F242" s="114" t="s">
        <v>215</v>
      </c>
      <c r="G242" s="114">
        <v>3</v>
      </c>
      <c r="H242" s="114" t="s">
        <v>215</v>
      </c>
      <c r="I242" s="114">
        <v>5</v>
      </c>
      <c r="J242" s="66" t="s">
        <v>350</v>
      </c>
      <c r="K242" s="105">
        <v>9.6199999999999992</v>
      </c>
      <c r="L242" s="105" t="s">
        <v>38</v>
      </c>
      <c r="M242" s="66">
        <f>(E242+G242+I242)*C242*K242</f>
        <v>115.44</v>
      </c>
      <c r="N242" s="8" t="s">
        <v>10</v>
      </c>
      <c r="O242" s="106"/>
    </row>
    <row r="243" spans="3:15" ht="15" customHeight="1">
      <c r="C243" s="8">
        <v>1</v>
      </c>
      <c r="D243" s="8" t="s">
        <v>4</v>
      </c>
      <c r="E243" s="114">
        <v>10</v>
      </c>
      <c r="F243" s="66" t="s">
        <v>4</v>
      </c>
      <c r="G243" s="66">
        <v>9.6199999999999992</v>
      </c>
      <c r="H243" s="66"/>
      <c r="I243" s="66"/>
      <c r="J243" s="66"/>
      <c r="K243" s="66"/>
      <c r="L243" s="105" t="s">
        <v>38</v>
      </c>
      <c r="M243" s="66">
        <f>C243*E243*G243</f>
        <v>96.199999999999989</v>
      </c>
      <c r="N243" s="8" t="s">
        <v>10</v>
      </c>
      <c r="O243" s="106"/>
    </row>
    <row r="244" spans="3:15" ht="15" customHeight="1">
      <c r="C244" s="8">
        <v>1</v>
      </c>
      <c r="D244" s="8" t="s">
        <v>4</v>
      </c>
      <c r="E244" s="114">
        <v>4</v>
      </c>
      <c r="F244" s="66" t="s">
        <v>4</v>
      </c>
      <c r="G244" s="66">
        <v>11.62</v>
      </c>
      <c r="H244" s="66"/>
      <c r="I244" s="66"/>
      <c r="J244" s="66"/>
      <c r="K244" s="66"/>
      <c r="L244" s="105" t="s">
        <v>38</v>
      </c>
      <c r="M244" s="66">
        <f t="shared" ref="M244:M287" si="9">C244*E244*G244</f>
        <v>46.48</v>
      </c>
      <c r="N244" s="8" t="s">
        <v>10</v>
      </c>
      <c r="O244" s="106"/>
    </row>
    <row r="245" spans="3:15" ht="15" customHeight="1">
      <c r="C245" s="8">
        <v>1</v>
      </c>
      <c r="D245" s="8" t="s">
        <v>4</v>
      </c>
      <c r="E245" s="114">
        <v>7</v>
      </c>
      <c r="F245" s="66" t="s">
        <v>4</v>
      </c>
      <c r="G245" s="66">
        <v>11.62</v>
      </c>
      <c r="H245" s="66"/>
      <c r="I245" s="66"/>
      <c r="J245" s="66"/>
      <c r="K245" s="66"/>
      <c r="L245" s="105" t="s">
        <v>38</v>
      </c>
      <c r="M245" s="66">
        <f t="shared" si="9"/>
        <v>81.339999999999989</v>
      </c>
      <c r="N245" s="8" t="s">
        <v>10</v>
      </c>
      <c r="O245" s="106"/>
    </row>
    <row r="246" spans="3:15" ht="15" customHeight="1">
      <c r="C246" s="8">
        <v>1</v>
      </c>
      <c r="D246" s="8" t="s">
        <v>4</v>
      </c>
      <c r="E246" s="114">
        <v>7.75</v>
      </c>
      <c r="F246" s="66" t="s">
        <v>4</v>
      </c>
      <c r="G246" s="66">
        <v>9.6199999999999992</v>
      </c>
      <c r="H246" s="66"/>
      <c r="I246" s="66"/>
      <c r="J246" s="66"/>
      <c r="K246" s="66"/>
      <c r="L246" s="105" t="s">
        <v>38</v>
      </c>
      <c r="M246" s="66">
        <f t="shared" si="9"/>
        <v>74.554999999999993</v>
      </c>
      <c r="N246" s="8" t="s">
        <v>10</v>
      </c>
      <c r="O246" s="106"/>
    </row>
    <row r="247" spans="3:15" ht="15" customHeight="1">
      <c r="C247" s="8">
        <v>1</v>
      </c>
      <c r="D247" s="8" t="s">
        <v>4</v>
      </c>
      <c r="E247" s="114">
        <v>4.75</v>
      </c>
      <c r="F247" s="66" t="s">
        <v>4</v>
      </c>
      <c r="G247" s="66">
        <v>9.6199999999999992</v>
      </c>
      <c r="H247" s="66"/>
      <c r="I247" s="66"/>
      <c r="J247" s="66"/>
      <c r="K247" s="66"/>
      <c r="L247" s="105" t="s">
        <v>38</v>
      </c>
      <c r="M247" s="66">
        <f t="shared" si="9"/>
        <v>45.694999999999993</v>
      </c>
      <c r="N247" s="8" t="s">
        <v>10</v>
      </c>
      <c r="O247" s="106"/>
    </row>
    <row r="248" spans="3:15" ht="15" customHeight="1">
      <c r="C248" s="8">
        <v>1</v>
      </c>
      <c r="D248" s="8" t="s">
        <v>4</v>
      </c>
      <c r="E248" s="114">
        <v>4.75</v>
      </c>
      <c r="F248" s="66" t="s">
        <v>4</v>
      </c>
      <c r="G248" s="66">
        <v>9.6199999999999992</v>
      </c>
      <c r="H248" s="66"/>
      <c r="I248" s="66"/>
      <c r="J248" s="66"/>
      <c r="K248" s="66"/>
      <c r="L248" s="105" t="s">
        <v>38</v>
      </c>
      <c r="M248" s="66">
        <f t="shared" si="9"/>
        <v>45.694999999999993</v>
      </c>
      <c r="N248" s="8" t="s">
        <v>10</v>
      </c>
      <c r="O248" s="106"/>
    </row>
    <row r="249" spans="3:15" ht="15" customHeight="1">
      <c r="C249" s="8">
        <v>1</v>
      </c>
      <c r="D249" s="8" t="s">
        <v>4</v>
      </c>
      <c r="E249" s="114">
        <v>4.75</v>
      </c>
      <c r="F249" s="66" t="s">
        <v>4</v>
      </c>
      <c r="G249" s="66">
        <v>9.6199999999999992</v>
      </c>
      <c r="H249" s="66"/>
      <c r="I249" s="66"/>
      <c r="J249" s="66"/>
      <c r="K249" s="66"/>
      <c r="L249" s="105" t="s">
        <v>38</v>
      </c>
      <c r="M249" s="66">
        <f t="shared" si="9"/>
        <v>45.694999999999993</v>
      </c>
      <c r="N249" s="8" t="s">
        <v>10</v>
      </c>
      <c r="O249" s="106"/>
    </row>
    <row r="250" spans="3:15" ht="15" customHeight="1">
      <c r="C250" s="8">
        <v>1</v>
      </c>
      <c r="D250" s="8" t="s">
        <v>4</v>
      </c>
      <c r="E250" s="114">
        <v>8.6199999999999992</v>
      </c>
      <c r="F250" s="66" t="s">
        <v>4</v>
      </c>
      <c r="G250" s="66">
        <v>9.6199999999999992</v>
      </c>
      <c r="H250" s="66"/>
      <c r="I250" s="66"/>
      <c r="J250" s="66"/>
      <c r="K250" s="66"/>
      <c r="L250" s="105" t="s">
        <v>38</v>
      </c>
      <c r="M250" s="66">
        <f t="shared" si="9"/>
        <v>82.924399999999991</v>
      </c>
      <c r="N250" s="8" t="s">
        <v>10</v>
      </c>
      <c r="O250" s="106"/>
    </row>
    <row r="251" spans="3:15" ht="15" customHeight="1">
      <c r="C251" s="8">
        <v>1</v>
      </c>
      <c r="D251" s="8" t="s">
        <v>4</v>
      </c>
      <c r="E251" s="114">
        <v>7.5</v>
      </c>
      <c r="F251" s="66" t="s">
        <v>4</v>
      </c>
      <c r="G251" s="66">
        <v>7</v>
      </c>
      <c r="H251" s="66"/>
      <c r="I251" s="66"/>
      <c r="J251" s="66"/>
      <c r="K251" s="66"/>
      <c r="L251" s="105" t="s">
        <v>38</v>
      </c>
      <c r="M251" s="66">
        <f t="shared" si="9"/>
        <v>52.5</v>
      </c>
      <c r="N251" s="8" t="s">
        <v>10</v>
      </c>
      <c r="O251" s="106"/>
    </row>
    <row r="252" spans="3:15" ht="15" customHeight="1">
      <c r="C252" s="8">
        <v>1</v>
      </c>
      <c r="D252" s="8" t="s">
        <v>4</v>
      </c>
      <c r="E252" s="114">
        <v>24</v>
      </c>
      <c r="F252" s="66" t="s">
        <v>4</v>
      </c>
      <c r="G252" s="66">
        <v>6.75</v>
      </c>
      <c r="H252" s="66"/>
      <c r="I252" s="66"/>
      <c r="J252" s="66"/>
      <c r="K252" s="66"/>
      <c r="L252" s="105" t="s">
        <v>38</v>
      </c>
      <c r="M252" s="66">
        <f t="shared" si="9"/>
        <v>162</v>
      </c>
      <c r="N252" s="8" t="s">
        <v>10</v>
      </c>
      <c r="O252" s="106"/>
    </row>
    <row r="253" spans="3:15" ht="15" customHeight="1">
      <c r="C253" s="8">
        <v>3</v>
      </c>
      <c r="D253" s="8" t="s">
        <v>4</v>
      </c>
      <c r="E253" s="114">
        <v>5.41</v>
      </c>
      <c r="F253" s="66" t="s">
        <v>4</v>
      </c>
      <c r="G253" s="66">
        <v>6.75</v>
      </c>
      <c r="H253" s="66"/>
      <c r="I253" s="66"/>
      <c r="J253" s="66"/>
      <c r="K253" s="66"/>
      <c r="L253" s="105" t="s">
        <v>38</v>
      </c>
      <c r="M253" s="66">
        <f t="shared" si="9"/>
        <v>109.55250000000001</v>
      </c>
      <c r="N253" s="8" t="s">
        <v>10</v>
      </c>
      <c r="O253" s="106"/>
    </row>
    <row r="254" spans="3:15" ht="15" customHeight="1">
      <c r="C254" s="8">
        <v>1</v>
      </c>
      <c r="D254" s="8" t="s">
        <v>4</v>
      </c>
      <c r="E254" s="114">
        <v>3.5</v>
      </c>
      <c r="F254" s="66" t="s">
        <v>4</v>
      </c>
      <c r="G254" s="66">
        <v>9.6199999999999992</v>
      </c>
      <c r="H254" s="66"/>
      <c r="I254" s="66"/>
      <c r="J254" s="66"/>
      <c r="K254" s="66"/>
      <c r="L254" s="105" t="s">
        <v>38</v>
      </c>
      <c r="M254" s="66">
        <f t="shared" si="9"/>
        <v>33.669999999999995</v>
      </c>
      <c r="N254" s="8" t="s">
        <v>10</v>
      </c>
      <c r="O254" s="106"/>
    </row>
    <row r="255" spans="3:15" ht="15" customHeight="1">
      <c r="C255" s="8">
        <v>1</v>
      </c>
      <c r="D255" s="8" t="s">
        <v>4</v>
      </c>
      <c r="E255" s="114">
        <v>1.85</v>
      </c>
      <c r="F255" s="66" t="s">
        <v>4</v>
      </c>
      <c r="G255" s="66">
        <v>7</v>
      </c>
      <c r="H255" s="66"/>
      <c r="I255" s="66"/>
      <c r="J255" s="66"/>
      <c r="K255" s="66"/>
      <c r="L255" s="105" t="s">
        <v>38</v>
      </c>
      <c r="M255" s="66">
        <f t="shared" si="9"/>
        <v>12.950000000000001</v>
      </c>
      <c r="N255" s="8" t="s">
        <v>10</v>
      </c>
      <c r="O255" s="106"/>
    </row>
    <row r="256" spans="3:15" ht="15" customHeight="1">
      <c r="C256" s="8">
        <v>2</v>
      </c>
      <c r="D256" s="8" t="s">
        <v>4</v>
      </c>
      <c r="E256" s="114">
        <v>1.1299999999999999</v>
      </c>
      <c r="F256" s="66" t="s">
        <v>4</v>
      </c>
      <c r="G256" s="66">
        <v>7</v>
      </c>
      <c r="H256" s="66"/>
      <c r="I256" s="66"/>
      <c r="J256" s="66"/>
      <c r="K256" s="66"/>
      <c r="L256" s="105" t="s">
        <v>38</v>
      </c>
      <c r="M256" s="66">
        <f t="shared" si="9"/>
        <v>15.819999999999999</v>
      </c>
      <c r="N256" s="8" t="s">
        <v>10</v>
      </c>
      <c r="O256" s="106"/>
    </row>
    <row r="257" spans="3:15" ht="15" customHeight="1">
      <c r="C257" s="8">
        <v>1</v>
      </c>
      <c r="D257" s="8" t="s">
        <v>4</v>
      </c>
      <c r="E257" s="114">
        <v>11.13</v>
      </c>
      <c r="F257" s="66" t="s">
        <v>4</v>
      </c>
      <c r="G257" s="66">
        <v>11.62</v>
      </c>
      <c r="H257" s="66"/>
      <c r="I257" s="66"/>
      <c r="J257" s="66"/>
      <c r="K257" s="66"/>
      <c r="L257" s="105" t="s">
        <v>38</v>
      </c>
      <c r="M257" s="66">
        <f t="shared" si="9"/>
        <v>129.3306</v>
      </c>
      <c r="N257" s="8" t="s">
        <v>10</v>
      </c>
      <c r="O257" s="106"/>
    </row>
    <row r="258" spans="3:15" ht="15" customHeight="1">
      <c r="C258" s="8">
        <v>1</v>
      </c>
      <c r="D258" s="8" t="s">
        <v>4</v>
      </c>
      <c r="E258" s="114">
        <v>1.5</v>
      </c>
      <c r="F258" s="66" t="s">
        <v>4</v>
      </c>
      <c r="G258" s="66">
        <v>11.63</v>
      </c>
      <c r="H258" s="66"/>
      <c r="I258" s="66"/>
      <c r="J258" s="66"/>
      <c r="K258" s="66"/>
      <c r="L258" s="105" t="s">
        <v>38</v>
      </c>
      <c r="M258" s="66">
        <f t="shared" si="9"/>
        <v>17.445</v>
      </c>
      <c r="N258" s="8" t="s">
        <v>10</v>
      </c>
      <c r="O258" s="106"/>
    </row>
    <row r="259" spans="3:15" ht="15" customHeight="1">
      <c r="C259" s="8">
        <v>1</v>
      </c>
      <c r="D259" s="8" t="s">
        <v>4</v>
      </c>
      <c r="E259" s="114">
        <v>10.75</v>
      </c>
      <c r="F259" s="66" t="s">
        <v>4</v>
      </c>
      <c r="G259" s="66">
        <v>9.6300000000000008</v>
      </c>
      <c r="H259" s="66"/>
      <c r="I259" s="66"/>
      <c r="J259" s="66"/>
      <c r="K259" s="66"/>
      <c r="L259" s="105" t="s">
        <v>38</v>
      </c>
      <c r="M259" s="66">
        <f t="shared" si="9"/>
        <v>103.52250000000001</v>
      </c>
      <c r="N259" s="8" t="s">
        <v>10</v>
      </c>
      <c r="O259" s="106"/>
    </row>
    <row r="260" spans="3:15" ht="15" customHeight="1">
      <c r="C260" s="8">
        <v>1</v>
      </c>
      <c r="D260" s="8" t="s">
        <v>4</v>
      </c>
      <c r="E260" s="114">
        <v>12</v>
      </c>
      <c r="F260" s="66" t="s">
        <v>4</v>
      </c>
      <c r="G260" s="66">
        <v>9.6199999999999992</v>
      </c>
      <c r="H260" s="66"/>
      <c r="I260" s="66"/>
      <c r="J260" s="66"/>
      <c r="K260" s="66"/>
      <c r="L260" s="105" t="s">
        <v>38</v>
      </c>
      <c r="M260" s="66">
        <f t="shared" si="9"/>
        <v>115.44</v>
      </c>
      <c r="N260" s="8" t="s">
        <v>10</v>
      </c>
      <c r="O260" s="106"/>
    </row>
    <row r="261" spans="3:15" ht="15" customHeight="1">
      <c r="C261" s="8">
        <v>1</v>
      </c>
      <c r="D261" s="8" t="s">
        <v>4</v>
      </c>
      <c r="E261" s="114">
        <v>21.5</v>
      </c>
      <c r="F261" s="66" t="s">
        <v>4</v>
      </c>
      <c r="G261" s="66">
        <v>6.75</v>
      </c>
      <c r="H261" s="66"/>
      <c r="I261" s="66"/>
      <c r="J261" s="66"/>
      <c r="K261" s="66"/>
      <c r="L261" s="105" t="s">
        <v>38</v>
      </c>
      <c r="M261" s="66">
        <f t="shared" si="9"/>
        <v>145.125</v>
      </c>
      <c r="N261" s="8" t="s">
        <v>10</v>
      </c>
      <c r="O261" s="106"/>
    </row>
    <row r="262" spans="3:15" ht="15" customHeight="1">
      <c r="C262" s="8">
        <v>6</v>
      </c>
      <c r="D262" s="8" t="s">
        <v>4</v>
      </c>
      <c r="E262" s="114">
        <v>0.25</v>
      </c>
      <c r="F262" s="66" t="s">
        <v>4</v>
      </c>
      <c r="G262" s="66">
        <v>6.75</v>
      </c>
      <c r="H262" s="66"/>
      <c r="I262" s="66"/>
      <c r="J262" s="66"/>
      <c r="K262" s="66"/>
      <c r="L262" s="105" t="s">
        <v>38</v>
      </c>
      <c r="M262" s="66">
        <f t="shared" si="9"/>
        <v>10.125</v>
      </c>
      <c r="N262" s="8" t="s">
        <v>10</v>
      </c>
      <c r="O262" s="106"/>
    </row>
    <row r="263" spans="3:15" ht="15" customHeight="1">
      <c r="C263" s="8">
        <v>1</v>
      </c>
      <c r="D263" s="8" t="s">
        <v>4</v>
      </c>
      <c r="E263" s="114">
        <v>0.75</v>
      </c>
      <c r="F263" s="66" t="s">
        <v>4</v>
      </c>
      <c r="G263" s="66">
        <v>7</v>
      </c>
      <c r="H263" s="66"/>
      <c r="I263" s="66"/>
      <c r="J263" s="66"/>
      <c r="K263" s="66"/>
      <c r="L263" s="105" t="s">
        <v>38</v>
      </c>
      <c r="M263" s="66">
        <f t="shared" si="9"/>
        <v>5.25</v>
      </c>
      <c r="N263" s="8" t="s">
        <v>10</v>
      </c>
      <c r="O263" s="106"/>
    </row>
    <row r="264" spans="3:15" ht="15" customHeight="1">
      <c r="C264" s="8">
        <v>1</v>
      </c>
      <c r="D264" s="8" t="s">
        <v>4</v>
      </c>
      <c r="E264" s="114">
        <v>9.25</v>
      </c>
      <c r="F264" s="66" t="s">
        <v>4</v>
      </c>
      <c r="G264" s="66">
        <v>6.75</v>
      </c>
      <c r="H264" s="66"/>
      <c r="I264" s="66"/>
      <c r="J264" s="66"/>
      <c r="K264" s="66"/>
      <c r="L264" s="105" t="s">
        <v>38</v>
      </c>
      <c r="M264" s="66">
        <f t="shared" si="9"/>
        <v>62.4375</v>
      </c>
      <c r="N264" s="8" t="s">
        <v>10</v>
      </c>
      <c r="O264" s="106"/>
    </row>
    <row r="265" spans="3:15" ht="15" customHeight="1">
      <c r="C265" s="8">
        <v>1</v>
      </c>
      <c r="D265" s="8" t="s">
        <v>4</v>
      </c>
      <c r="E265" s="114">
        <v>7.5</v>
      </c>
      <c r="F265" s="66" t="s">
        <v>4</v>
      </c>
      <c r="G265" s="66">
        <v>7</v>
      </c>
      <c r="H265" s="66"/>
      <c r="I265" s="66"/>
      <c r="J265" s="66"/>
      <c r="K265" s="66"/>
      <c r="L265" s="105" t="s">
        <v>38</v>
      </c>
      <c r="M265" s="66">
        <f t="shared" si="9"/>
        <v>52.5</v>
      </c>
      <c r="N265" s="8" t="s">
        <v>10</v>
      </c>
      <c r="O265" s="106"/>
    </row>
    <row r="266" spans="3:15" ht="15" customHeight="1">
      <c r="C266" s="8">
        <v>1</v>
      </c>
      <c r="D266" s="8" t="s">
        <v>4</v>
      </c>
      <c r="E266" s="114">
        <v>5.5</v>
      </c>
      <c r="F266" s="66" t="s">
        <v>4</v>
      </c>
      <c r="G266" s="66">
        <v>9.6199999999999992</v>
      </c>
      <c r="H266" s="66"/>
      <c r="I266" s="66"/>
      <c r="J266" s="66"/>
      <c r="K266" s="66"/>
      <c r="L266" s="105" t="s">
        <v>38</v>
      </c>
      <c r="M266" s="66">
        <f t="shared" si="9"/>
        <v>52.91</v>
      </c>
      <c r="N266" s="8" t="s">
        <v>10</v>
      </c>
      <c r="O266" s="106"/>
    </row>
    <row r="267" spans="3:15" ht="15" customHeight="1">
      <c r="C267" s="8">
        <v>1</v>
      </c>
      <c r="D267" s="8" t="s">
        <v>4</v>
      </c>
      <c r="E267" s="114">
        <v>9.58</v>
      </c>
      <c r="F267" s="66" t="s">
        <v>4</v>
      </c>
      <c r="G267" s="66">
        <v>9.6199999999999992</v>
      </c>
      <c r="H267" s="66"/>
      <c r="I267" s="66"/>
      <c r="J267" s="66"/>
      <c r="K267" s="66"/>
      <c r="L267" s="105" t="s">
        <v>38</v>
      </c>
      <c r="M267" s="66">
        <f t="shared" si="9"/>
        <v>92.159599999999998</v>
      </c>
      <c r="N267" s="8" t="s">
        <v>10</v>
      </c>
      <c r="O267" s="106"/>
    </row>
    <row r="268" spans="3:15" ht="15" customHeight="1">
      <c r="C268" s="8">
        <v>1</v>
      </c>
      <c r="D268" s="8" t="s">
        <v>4</v>
      </c>
      <c r="E268" s="114">
        <v>4.28</v>
      </c>
      <c r="F268" s="66" t="s">
        <v>4</v>
      </c>
      <c r="G268" s="66">
        <v>7</v>
      </c>
      <c r="H268" s="66"/>
      <c r="I268" s="66"/>
      <c r="J268" s="66"/>
      <c r="K268" s="66"/>
      <c r="L268" s="105" t="s">
        <v>38</v>
      </c>
      <c r="M268" s="66">
        <f t="shared" si="9"/>
        <v>29.96</v>
      </c>
      <c r="N268" s="8" t="s">
        <v>10</v>
      </c>
      <c r="O268" s="106"/>
    </row>
    <row r="269" spans="3:15" ht="15" customHeight="1">
      <c r="C269" s="8">
        <v>1</v>
      </c>
      <c r="D269" s="8" t="s">
        <v>4</v>
      </c>
      <c r="E269" s="114">
        <v>7.75</v>
      </c>
      <c r="F269" s="66" t="s">
        <v>4</v>
      </c>
      <c r="G269" s="66">
        <v>9.6199999999999992</v>
      </c>
      <c r="H269" s="66"/>
      <c r="I269" s="66"/>
      <c r="J269" s="66"/>
      <c r="K269" s="66"/>
      <c r="L269" s="105" t="s">
        <v>38</v>
      </c>
      <c r="M269" s="66">
        <f t="shared" si="9"/>
        <v>74.554999999999993</v>
      </c>
      <c r="N269" s="8" t="s">
        <v>10</v>
      </c>
      <c r="O269" s="106"/>
    </row>
    <row r="270" spans="3:15" ht="15" customHeight="1">
      <c r="C270" s="8">
        <v>1</v>
      </c>
      <c r="D270" s="8" t="s">
        <v>4</v>
      </c>
      <c r="E270" s="114">
        <v>13.5</v>
      </c>
      <c r="F270" s="66" t="s">
        <v>4</v>
      </c>
      <c r="G270" s="66">
        <v>11.62</v>
      </c>
      <c r="H270" s="66"/>
      <c r="I270" s="66"/>
      <c r="J270" s="66"/>
      <c r="K270" s="66"/>
      <c r="L270" s="105" t="s">
        <v>38</v>
      </c>
      <c r="M270" s="66">
        <f t="shared" si="9"/>
        <v>156.86999999999998</v>
      </c>
      <c r="N270" s="8" t="s">
        <v>10</v>
      </c>
      <c r="O270" s="106"/>
    </row>
    <row r="271" spans="3:15" ht="15" customHeight="1">
      <c r="C271" s="8">
        <v>1</v>
      </c>
      <c r="D271" s="8" t="s">
        <v>4</v>
      </c>
      <c r="E271" s="114">
        <v>4</v>
      </c>
      <c r="F271" s="66" t="s">
        <v>4</v>
      </c>
      <c r="G271" s="66">
        <v>1</v>
      </c>
      <c r="H271" s="66"/>
      <c r="I271" s="66"/>
      <c r="J271" s="66"/>
      <c r="K271" s="66"/>
      <c r="L271" s="105" t="s">
        <v>38</v>
      </c>
      <c r="M271" s="66">
        <f t="shared" si="9"/>
        <v>4</v>
      </c>
      <c r="N271" s="8" t="s">
        <v>10</v>
      </c>
      <c r="O271" s="106"/>
    </row>
    <row r="272" spans="3:15" ht="15" customHeight="1">
      <c r="C272" s="8">
        <v>1</v>
      </c>
      <c r="D272" s="8" t="s">
        <v>4</v>
      </c>
      <c r="E272" s="114">
        <v>2</v>
      </c>
      <c r="F272" s="66" t="s">
        <v>4</v>
      </c>
      <c r="G272" s="66">
        <v>0.5</v>
      </c>
      <c r="H272" s="66"/>
      <c r="I272" s="66"/>
      <c r="J272" s="66"/>
      <c r="K272" s="66"/>
      <c r="L272" s="105" t="s">
        <v>38</v>
      </c>
      <c r="M272" s="66">
        <f t="shared" si="9"/>
        <v>1</v>
      </c>
      <c r="N272" s="8" t="s">
        <v>10</v>
      </c>
      <c r="O272" s="106"/>
    </row>
    <row r="273" spans="3:15" ht="15" customHeight="1">
      <c r="C273" s="8">
        <v>1</v>
      </c>
      <c r="D273" s="8" t="s">
        <v>4</v>
      </c>
      <c r="E273" s="114">
        <v>4</v>
      </c>
      <c r="F273" s="66" t="s">
        <v>4</v>
      </c>
      <c r="G273" s="66">
        <v>0.5</v>
      </c>
      <c r="H273" s="66"/>
      <c r="I273" s="66"/>
      <c r="J273" s="66"/>
      <c r="K273" s="66"/>
      <c r="L273" s="105" t="s">
        <v>38</v>
      </c>
      <c r="M273" s="66">
        <f t="shared" si="9"/>
        <v>2</v>
      </c>
      <c r="N273" s="8" t="s">
        <v>10</v>
      </c>
      <c r="O273" s="106"/>
    </row>
    <row r="274" spans="3:15" ht="15" customHeight="1">
      <c r="C274" s="8">
        <v>2</v>
      </c>
      <c r="D274" s="8" t="s">
        <v>4</v>
      </c>
      <c r="E274" s="114">
        <v>4</v>
      </c>
      <c r="F274" s="66" t="s">
        <v>4</v>
      </c>
      <c r="G274" s="66">
        <v>0.5</v>
      </c>
      <c r="H274" s="66"/>
      <c r="I274" s="66"/>
      <c r="J274" s="66"/>
      <c r="K274" s="66"/>
      <c r="L274" s="105" t="s">
        <v>38</v>
      </c>
      <c r="M274" s="66">
        <f t="shared" si="9"/>
        <v>4</v>
      </c>
      <c r="N274" s="8" t="s">
        <v>10</v>
      </c>
      <c r="O274" s="106"/>
    </row>
    <row r="275" spans="3:15" ht="15" customHeight="1">
      <c r="C275" s="8">
        <v>2</v>
      </c>
      <c r="D275" s="8" t="s">
        <v>4</v>
      </c>
      <c r="E275" s="114">
        <v>4</v>
      </c>
      <c r="F275" s="66" t="s">
        <v>4</v>
      </c>
      <c r="G275" s="66">
        <v>0.5</v>
      </c>
      <c r="H275" s="66"/>
      <c r="I275" s="66"/>
      <c r="J275" s="66"/>
      <c r="K275" s="66"/>
      <c r="L275" s="105" t="s">
        <v>38</v>
      </c>
      <c r="M275" s="66">
        <f t="shared" si="9"/>
        <v>4</v>
      </c>
      <c r="N275" s="8" t="s">
        <v>10</v>
      </c>
      <c r="O275" s="106"/>
    </row>
    <row r="276" spans="3:15" ht="15" customHeight="1">
      <c r="C276" s="8">
        <v>2</v>
      </c>
      <c r="D276" s="8" t="s">
        <v>4</v>
      </c>
      <c r="E276" s="114">
        <v>1</v>
      </c>
      <c r="F276" s="66" t="s">
        <v>4</v>
      </c>
      <c r="G276" s="66">
        <v>0.5</v>
      </c>
      <c r="H276" s="66"/>
      <c r="I276" s="66"/>
      <c r="J276" s="66"/>
      <c r="K276" s="66"/>
      <c r="L276" s="105" t="s">
        <v>38</v>
      </c>
      <c r="M276" s="66">
        <f t="shared" si="9"/>
        <v>1</v>
      </c>
      <c r="N276" s="8" t="s">
        <v>10</v>
      </c>
      <c r="O276" s="106"/>
    </row>
    <row r="277" spans="3:15" ht="15" customHeight="1">
      <c r="C277" s="8">
        <v>2</v>
      </c>
      <c r="D277" s="8" t="s">
        <v>4</v>
      </c>
      <c r="E277" s="114">
        <v>2</v>
      </c>
      <c r="F277" s="66" t="s">
        <v>4</v>
      </c>
      <c r="G277" s="66">
        <v>0.5</v>
      </c>
      <c r="H277" s="66"/>
      <c r="I277" s="66"/>
      <c r="J277" s="66"/>
      <c r="K277" s="66"/>
      <c r="L277" s="105" t="s">
        <v>38</v>
      </c>
      <c r="M277" s="66">
        <f t="shared" si="9"/>
        <v>2</v>
      </c>
      <c r="N277" s="8" t="s">
        <v>10</v>
      </c>
      <c r="O277" s="106"/>
    </row>
    <row r="278" spans="3:15" ht="15" customHeight="1">
      <c r="C278" s="8">
        <v>1</v>
      </c>
      <c r="D278" s="8" t="s">
        <v>4</v>
      </c>
      <c r="E278" s="114">
        <v>11.34</v>
      </c>
      <c r="F278" s="66" t="s">
        <v>4</v>
      </c>
      <c r="G278" s="66">
        <v>1.5</v>
      </c>
      <c r="H278" s="66"/>
      <c r="I278" s="66"/>
      <c r="J278" s="66"/>
      <c r="K278" s="66"/>
      <c r="L278" s="105" t="s">
        <v>38</v>
      </c>
      <c r="M278" s="66">
        <f t="shared" si="9"/>
        <v>17.009999999999998</v>
      </c>
      <c r="N278" s="8" t="s">
        <v>10</v>
      </c>
      <c r="O278" s="106"/>
    </row>
    <row r="279" spans="3:15" ht="15" customHeight="1">
      <c r="C279" s="8">
        <v>1</v>
      </c>
      <c r="D279" s="8" t="s">
        <v>4</v>
      </c>
      <c r="E279" s="114">
        <v>1.5</v>
      </c>
      <c r="F279" s="66" t="s">
        <v>4</v>
      </c>
      <c r="G279" s="66">
        <v>1.5</v>
      </c>
      <c r="H279" s="66"/>
      <c r="I279" s="66"/>
      <c r="J279" s="66"/>
      <c r="K279" s="66"/>
      <c r="L279" s="105" t="s">
        <v>38</v>
      </c>
      <c r="M279" s="66">
        <f t="shared" si="9"/>
        <v>2.25</v>
      </c>
      <c r="N279" s="8" t="s">
        <v>10</v>
      </c>
      <c r="O279" s="106"/>
    </row>
    <row r="280" spans="3:15" ht="15" customHeight="1">
      <c r="C280" s="8">
        <v>1</v>
      </c>
      <c r="D280" s="8" t="s">
        <v>4</v>
      </c>
      <c r="E280" s="114">
        <v>10.96</v>
      </c>
      <c r="F280" s="66" t="s">
        <v>4</v>
      </c>
      <c r="G280" s="66">
        <v>1.5</v>
      </c>
      <c r="H280" s="66"/>
      <c r="I280" s="66"/>
      <c r="J280" s="66"/>
      <c r="K280" s="66"/>
      <c r="L280" s="105" t="s">
        <v>38</v>
      </c>
      <c r="M280" s="66">
        <f t="shared" si="9"/>
        <v>16.440000000000001</v>
      </c>
      <c r="N280" s="8" t="s">
        <v>10</v>
      </c>
      <c r="O280" s="106"/>
    </row>
    <row r="281" spans="3:15" ht="15" customHeight="1">
      <c r="C281" s="8">
        <v>1</v>
      </c>
      <c r="D281" s="8" t="s">
        <v>4</v>
      </c>
      <c r="E281" s="114">
        <v>12.21</v>
      </c>
      <c r="F281" s="66" t="s">
        <v>4</v>
      </c>
      <c r="G281" s="66">
        <v>1.5</v>
      </c>
      <c r="H281" s="66"/>
      <c r="I281" s="66"/>
      <c r="J281" s="66"/>
      <c r="K281" s="66"/>
      <c r="L281" s="105" t="s">
        <v>38</v>
      </c>
      <c r="M281" s="66">
        <f t="shared" si="9"/>
        <v>18.315000000000001</v>
      </c>
      <c r="N281" s="8" t="s">
        <v>10</v>
      </c>
      <c r="O281" s="106"/>
    </row>
    <row r="282" spans="3:15" ht="15" customHeight="1">
      <c r="C282" s="8">
        <v>1</v>
      </c>
      <c r="D282" s="8" t="s">
        <v>4</v>
      </c>
      <c r="E282" s="114">
        <v>21.17</v>
      </c>
      <c r="F282" s="66" t="s">
        <v>4</v>
      </c>
      <c r="G282" s="66">
        <v>1.5</v>
      </c>
      <c r="H282" s="66"/>
      <c r="I282" s="66"/>
      <c r="J282" s="66"/>
      <c r="K282" s="66"/>
      <c r="L282" s="105" t="s">
        <v>38</v>
      </c>
      <c r="M282" s="66">
        <f t="shared" si="9"/>
        <v>31.755000000000003</v>
      </c>
      <c r="N282" s="8" t="s">
        <v>10</v>
      </c>
      <c r="O282" s="106"/>
    </row>
    <row r="283" spans="3:15" ht="15" customHeight="1">
      <c r="C283" s="8">
        <v>1</v>
      </c>
      <c r="D283" s="8" t="s">
        <v>4</v>
      </c>
      <c r="E283" s="114">
        <v>17.71</v>
      </c>
      <c r="F283" s="66" t="s">
        <v>4</v>
      </c>
      <c r="G283" s="66">
        <v>1</v>
      </c>
      <c r="H283" s="66"/>
      <c r="I283" s="66"/>
      <c r="J283" s="66"/>
      <c r="K283" s="66"/>
      <c r="L283" s="105" t="s">
        <v>38</v>
      </c>
      <c r="M283" s="66">
        <f t="shared" si="9"/>
        <v>17.71</v>
      </c>
      <c r="N283" s="8" t="s">
        <v>10</v>
      </c>
      <c r="O283" s="106"/>
    </row>
    <row r="284" spans="3:15" ht="15" customHeight="1">
      <c r="C284" s="8">
        <v>1</v>
      </c>
      <c r="D284" s="8" t="s">
        <v>4</v>
      </c>
      <c r="E284" s="114">
        <v>5.71</v>
      </c>
      <c r="F284" s="66" t="s">
        <v>4</v>
      </c>
      <c r="G284" s="66">
        <v>1.5</v>
      </c>
      <c r="H284" s="66"/>
      <c r="I284" s="66"/>
      <c r="J284" s="66"/>
      <c r="K284" s="66"/>
      <c r="L284" s="105" t="s">
        <v>38</v>
      </c>
      <c r="M284" s="66">
        <f t="shared" si="9"/>
        <v>8.5649999999999995</v>
      </c>
      <c r="N284" s="8" t="s">
        <v>10</v>
      </c>
      <c r="O284" s="106"/>
    </row>
    <row r="285" spans="3:15" ht="15" customHeight="1">
      <c r="C285" s="8">
        <v>1</v>
      </c>
      <c r="D285" s="8" t="s">
        <v>4</v>
      </c>
      <c r="E285" s="114">
        <v>9.75</v>
      </c>
      <c r="F285" s="66" t="s">
        <v>4</v>
      </c>
      <c r="G285" s="66">
        <v>1.5</v>
      </c>
      <c r="H285" s="66"/>
      <c r="I285" s="66"/>
      <c r="J285" s="66"/>
      <c r="K285" s="66"/>
      <c r="L285" s="105" t="s">
        <v>38</v>
      </c>
      <c r="M285" s="66">
        <f t="shared" si="9"/>
        <v>14.625</v>
      </c>
      <c r="N285" s="8" t="s">
        <v>10</v>
      </c>
      <c r="O285" s="106"/>
    </row>
    <row r="286" spans="3:15" ht="15" customHeight="1">
      <c r="C286" s="8">
        <v>1</v>
      </c>
      <c r="D286" s="8" t="s">
        <v>4</v>
      </c>
      <c r="E286" s="114">
        <v>4.38</v>
      </c>
      <c r="F286" s="66" t="s">
        <v>4</v>
      </c>
      <c r="G286" s="66">
        <v>1</v>
      </c>
      <c r="H286" s="66"/>
      <c r="I286" s="66"/>
      <c r="J286" s="66"/>
      <c r="K286" s="66"/>
      <c r="L286" s="105" t="s">
        <v>38</v>
      </c>
      <c r="M286" s="66">
        <f t="shared" si="9"/>
        <v>4.38</v>
      </c>
      <c r="N286" s="8" t="s">
        <v>10</v>
      </c>
      <c r="O286" s="106"/>
    </row>
    <row r="287" spans="3:15" ht="15" customHeight="1">
      <c r="C287" s="8">
        <v>1</v>
      </c>
      <c r="D287" s="8" t="s">
        <v>4</v>
      </c>
      <c r="E287" s="114">
        <v>21.56</v>
      </c>
      <c r="F287" s="66" t="s">
        <v>4</v>
      </c>
      <c r="G287" s="66">
        <v>1.5</v>
      </c>
      <c r="H287" s="66"/>
      <c r="I287" s="66"/>
      <c r="J287" s="66"/>
      <c r="K287" s="66"/>
      <c r="L287" s="105" t="s">
        <v>38</v>
      </c>
      <c r="M287" s="66">
        <f t="shared" si="9"/>
        <v>32.339999999999996</v>
      </c>
      <c r="N287" s="8" t="s">
        <v>10</v>
      </c>
      <c r="O287" s="106"/>
    </row>
    <row r="288" spans="3:15" ht="15" customHeight="1">
      <c r="E288" s="114"/>
      <c r="F288" s="66"/>
      <c r="G288" s="66"/>
      <c r="H288" s="66"/>
      <c r="I288" s="66"/>
      <c r="J288" s="66"/>
      <c r="K288" s="66"/>
      <c r="L288" s="319">
        <f>SUM(M238:M287)</f>
        <v>3453.4571000000005</v>
      </c>
      <c r="M288" s="319"/>
      <c r="N288" s="8" t="s">
        <v>10</v>
      </c>
      <c r="O288" s="106"/>
    </row>
    <row r="289" spans="1:30" ht="15" customHeight="1">
      <c r="B289" s="52" t="s">
        <v>41</v>
      </c>
      <c r="E289" s="66"/>
      <c r="F289" s="66"/>
      <c r="G289" s="66"/>
      <c r="H289" s="66"/>
      <c r="I289" s="66"/>
      <c r="J289" s="66"/>
      <c r="K289" s="66"/>
      <c r="L289" s="105"/>
      <c r="M289" s="66"/>
      <c r="O289" s="106"/>
    </row>
    <row r="290" spans="1:30" ht="15" customHeight="1">
      <c r="B290" s="8" t="s">
        <v>168</v>
      </c>
      <c r="E290" s="66"/>
      <c r="F290" s="66"/>
      <c r="G290" s="66">
        <f>A166</f>
        <v>8</v>
      </c>
      <c r="H290" s="66"/>
      <c r="I290" s="66"/>
      <c r="J290" s="66"/>
      <c r="K290" s="66"/>
      <c r="L290" s="105" t="s">
        <v>38</v>
      </c>
      <c r="M290" s="66">
        <f>B182</f>
        <v>194.83500000000001</v>
      </c>
      <c r="N290" s="8" t="s">
        <v>10</v>
      </c>
      <c r="O290" s="106"/>
    </row>
    <row r="291" spans="1:30" ht="15" customHeight="1">
      <c r="E291" s="66"/>
      <c r="F291" s="66"/>
      <c r="G291" s="66"/>
      <c r="H291" s="66"/>
      <c r="I291" s="66"/>
      <c r="J291" s="66"/>
      <c r="K291" s="66" t="s">
        <v>51</v>
      </c>
      <c r="L291" s="319">
        <f>L288-M290</f>
        <v>3258.6221000000005</v>
      </c>
      <c r="M291" s="319"/>
      <c r="N291" s="8" t="s">
        <v>10</v>
      </c>
      <c r="O291" s="106"/>
    </row>
    <row r="292" spans="1:30" ht="15" customHeight="1">
      <c r="B292" s="102">
        <f>L291</f>
        <v>3258.6221000000005</v>
      </c>
      <c r="C292" s="103" t="s">
        <v>10</v>
      </c>
      <c r="D292" s="103"/>
      <c r="E292" s="102"/>
      <c r="F292" s="66"/>
      <c r="G292" s="66"/>
      <c r="H292" s="66"/>
      <c r="I292" s="66"/>
      <c r="J292" s="66"/>
      <c r="K292" s="108" t="str">
        <f>K164</f>
        <v xml:space="preserve"> @Rs:</v>
      </c>
      <c r="L292" s="105">
        <v>2206.6</v>
      </c>
      <c r="M292" s="66" t="s">
        <v>9</v>
      </c>
      <c r="N292" s="8" t="s">
        <v>31</v>
      </c>
      <c r="O292" s="106">
        <f>B292*L292/100</f>
        <v>71904.755258600009</v>
      </c>
      <c r="AD292" s="8">
        <v>8297</v>
      </c>
    </row>
    <row r="293" spans="1:30" ht="15" customHeight="1">
      <c r="B293" s="113"/>
      <c r="C293" s="113"/>
      <c r="D293" s="113"/>
      <c r="E293" s="114"/>
      <c r="F293" s="66"/>
      <c r="G293" s="66"/>
      <c r="H293" s="66"/>
      <c r="I293" s="66"/>
      <c r="J293" s="66"/>
      <c r="K293" s="116"/>
      <c r="L293" s="105"/>
      <c r="M293" s="66"/>
      <c r="O293" s="106"/>
    </row>
    <row r="294" spans="1:30" ht="15" customHeight="1">
      <c r="A294" s="8">
        <v>11</v>
      </c>
      <c r="B294" s="8" t="s">
        <v>156</v>
      </c>
      <c r="C294" s="113"/>
      <c r="D294" s="113"/>
      <c r="E294" s="114"/>
      <c r="F294" s="66"/>
      <c r="G294" s="66"/>
      <c r="H294" s="66"/>
      <c r="I294" s="66"/>
      <c r="J294" s="66"/>
      <c r="K294" s="116"/>
      <c r="L294" s="105"/>
      <c r="M294" s="66"/>
      <c r="O294" s="106"/>
    </row>
    <row r="295" spans="1:30" ht="15" customHeight="1">
      <c r="B295" s="103">
        <v>0</v>
      </c>
      <c r="C295" s="103" t="s">
        <v>10</v>
      </c>
      <c r="D295" s="103"/>
      <c r="E295" s="102"/>
      <c r="F295" s="66"/>
      <c r="G295" s="66"/>
      <c r="H295" s="66"/>
      <c r="I295" s="66"/>
      <c r="J295" s="66"/>
      <c r="K295" s="108" t="str">
        <f>K292</f>
        <v xml:space="preserve"> @Rs:</v>
      </c>
      <c r="L295" s="105">
        <v>2197.52</v>
      </c>
      <c r="M295" s="66" t="s">
        <v>9</v>
      </c>
      <c r="N295" s="8" t="s">
        <v>31</v>
      </c>
      <c r="O295" s="106">
        <f>B295*L295/100</f>
        <v>0</v>
      </c>
      <c r="AD295" s="8">
        <v>8263</v>
      </c>
    </row>
    <row r="296" spans="1:30" ht="15" customHeight="1">
      <c r="C296" s="113"/>
      <c r="D296" s="113"/>
      <c r="E296" s="114"/>
      <c r="F296" s="66"/>
      <c r="G296" s="66"/>
      <c r="H296" s="66"/>
      <c r="I296" s="66"/>
      <c r="J296" s="66"/>
      <c r="K296" s="116"/>
      <c r="L296" s="105"/>
      <c r="M296" s="66"/>
      <c r="O296" s="106"/>
    </row>
    <row r="297" spans="1:30" ht="15" customHeight="1">
      <c r="A297" s="8">
        <v>12</v>
      </c>
      <c r="B297" s="8" t="s">
        <v>157</v>
      </c>
      <c r="E297" s="66"/>
      <c r="F297" s="66"/>
      <c r="G297" s="66"/>
      <c r="H297" s="66"/>
      <c r="I297" s="66"/>
      <c r="J297" s="66"/>
      <c r="K297" s="66"/>
      <c r="L297" s="105"/>
      <c r="M297" s="66"/>
      <c r="O297" s="106"/>
    </row>
    <row r="298" spans="1:30" ht="15" customHeight="1">
      <c r="B298" s="103">
        <v>0</v>
      </c>
      <c r="C298" s="103" t="s">
        <v>10</v>
      </c>
      <c r="D298" s="103"/>
      <c r="E298" s="102"/>
      <c r="F298" s="66"/>
      <c r="G298" s="66"/>
      <c r="H298" s="66"/>
      <c r="I298" s="66"/>
      <c r="J298" s="66"/>
      <c r="K298" s="108" t="str">
        <f>K295</f>
        <v xml:space="preserve"> @Rs:</v>
      </c>
      <c r="L298" s="105">
        <v>1213.58</v>
      </c>
      <c r="M298" s="66" t="s">
        <v>9</v>
      </c>
      <c r="N298" s="8" t="s">
        <v>31</v>
      </c>
      <c r="O298" s="106">
        <f>B298*L298/100</f>
        <v>0</v>
      </c>
      <c r="AD298" s="8">
        <v>5291</v>
      </c>
    </row>
    <row r="299" spans="1:30" ht="15" customHeight="1">
      <c r="E299" s="66"/>
      <c r="F299" s="66"/>
      <c r="G299" s="66"/>
      <c r="H299" s="66"/>
      <c r="I299" s="66"/>
      <c r="J299" s="66"/>
      <c r="K299" s="66"/>
      <c r="L299" s="105"/>
      <c r="M299" s="66"/>
      <c r="O299" s="106"/>
    </row>
    <row r="300" spans="1:30" ht="15" customHeight="1">
      <c r="A300" s="63">
        <v>13</v>
      </c>
      <c r="B300" s="8" t="s">
        <v>360</v>
      </c>
      <c r="E300" s="66"/>
      <c r="F300" s="66"/>
      <c r="G300" s="66"/>
      <c r="H300" s="66"/>
      <c r="I300" s="66"/>
      <c r="J300" s="66"/>
      <c r="K300" s="66"/>
      <c r="L300" s="105"/>
      <c r="M300" s="66"/>
      <c r="O300" s="106"/>
    </row>
    <row r="301" spans="1:30" ht="15" customHeight="1">
      <c r="A301" s="63"/>
      <c r="B301" s="8" t="s">
        <v>361</v>
      </c>
      <c r="E301" s="66"/>
      <c r="F301" s="66"/>
      <c r="G301" s="66"/>
      <c r="H301" s="66"/>
      <c r="I301" s="66"/>
      <c r="J301" s="66"/>
      <c r="K301" s="66"/>
      <c r="L301" s="105"/>
      <c r="M301" s="66"/>
      <c r="O301" s="106"/>
    </row>
    <row r="302" spans="1:30" ht="15" customHeight="1">
      <c r="A302" s="63"/>
      <c r="B302" s="8" t="s">
        <v>161</v>
      </c>
      <c r="E302" s="66"/>
      <c r="F302" s="66"/>
      <c r="G302" s="66"/>
      <c r="H302" s="66"/>
      <c r="I302" s="66"/>
      <c r="J302" s="66"/>
      <c r="K302" s="66"/>
      <c r="L302" s="105"/>
      <c r="M302" s="66"/>
      <c r="O302" s="106"/>
    </row>
    <row r="303" spans="1:30" ht="15" customHeight="1">
      <c r="B303" s="8" t="s">
        <v>140</v>
      </c>
      <c r="C303" s="8">
        <f>C290</f>
        <v>0</v>
      </c>
      <c r="D303" s="8" t="s">
        <v>4</v>
      </c>
      <c r="E303" s="66">
        <f>E290</f>
        <v>0</v>
      </c>
      <c r="F303" s="66" t="s">
        <v>4</v>
      </c>
      <c r="G303" s="66">
        <f>G290</f>
        <v>8</v>
      </c>
      <c r="H303" s="66"/>
      <c r="I303" s="66"/>
      <c r="J303" s="66" t="s">
        <v>5</v>
      </c>
      <c r="K303" s="66">
        <f>C303*E303*G303</f>
        <v>0</v>
      </c>
      <c r="L303" s="105" t="s">
        <v>10</v>
      </c>
      <c r="M303" s="66"/>
      <c r="O303" s="106"/>
    </row>
    <row r="304" spans="1:30" ht="15" customHeight="1">
      <c r="B304" s="102">
        <f>K303</f>
        <v>0</v>
      </c>
      <c r="C304" s="103" t="s">
        <v>10</v>
      </c>
      <c r="D304" s="103"/>
      <c r="E304" s="102"/>
      <c r="F304" s="66"/>
      <c r="G304" s="66"/>
      <c r="H304" s="66"/>
      <c r="I304" s="66"/>
      <c r="J304" s="66"/>
      <c r="K304" s="108" t="str">
        <f>K298</f>
        <v xml:space="preserve"> @Rs:</v>
      </c>
      <c r="L304" s="105">
        <v>726.72</v>
      </c>
      <c r="M304" s="66" t="s">
        <v>162</v>
      </c>
      <c r="N304" s="8" t="s">
        <v>31</v>
      </c>
      <c r="O304" s="106">
        <f>B304*L304</f>
        <v>0</v>
      </c>
      <c r="AD304" s="8">
        <v>20348</v>
      </c>
    </row>
    <row r="305" spans="1:30" ht="15" customHeight="1">
      <c r="B305" s="102"/>
      <c r="C305" s="103"/>
      <c r="D305" s="103"/>
      <c r="E305" s="102"/>
      <c r="F305" s="66"/>
      <c r="G305" s="66"/>
      <c r="H305" s="66"/>
      <c r="I305" s="66"/>
      <c r="J305" s="66"/>
      <c r="K305" s="108"/>
      <c r="L305" s="105"/>
      <c r="M305" s="66"/>
      <c r="O305" s="106"/>
    </row>
    <row r="306" spans="1:30" ht="15" customHeight="1">
      <c r="A306" s="63">
        <v>14</v>
      </c>
      <c r="B306" s="8" t="s">
        <v>163</v>
      </c>
      <c r="E306" s="66"/>
      <c r="F306" s="66"/>
      <c r="G306" s="66"/>
      <c r="H306" s="66"/>
      <c r="I306" s="66"/>
      <c r="J306" s="66"/>
      <c r="K306" s="66"/>
      <c r="L306" s="105"/>
      <c r="M306" s="66"/>
      <c r="O306" s="106"/>
    </row>
    <row r="307" spans="1:30" ht="15" customHeight="1">
      <c r="A307" s="63"/>
      <c r="B307" s="8" t="s">
        <v>164</v>
      </c>
      <c r="E307" s="66"/>
      <c r="F307" s="66"/>
      <c r="G307" s="66"/>
      <c r="H307" s="66"/>
      <c r="I307" s="66"/>
      <c r="J307" s="66"/>
      <c r="K307" s="66"/>
      <c r="L307" s="105"/>
      <c r="M307" s="66"/>
      <c r="O307" s="106"/>
    </row>
    <row r="308" spans="1:30" ht="15" customHeight="1">
      <c r="A308" s="63"/>
      <c r="B308" s="8" t="s">
        <v>362</v>
      </c>
      <c r="E308" s="66"/>
      <c r="F308" s="66"/>
      <c r="G308" s="66"/>
      <c r="H308" s="66"/>
      <c r="I308" s="66"/>
      <c r="J308" s="66"/>
      <c r="K308" s="66"/>
      <c r="L308" s="105"/>
      <c r="M308" s="66"/>
      <c r="O308" s="106"/>
    </row>
    <row r="309" spans="1:30" ht="15" customHeight="1">
      <c r="B309" s="114" t="s">
        <v>141</v>
      </c>
      <c r="C309" s="8">
        <v>3</v>
      </c>
      <c r="E309" s="66">
        <v>3</v>
      </c>
      <c r="F309" s="66" t="s">
        <v>4</v>
      </c>
      <c r="G309" s="66">
        <v>4</v>
      </c>
      <c r="H309" s="66" t="s">
        <v>4</v>
      </c>
      <c r="I309" s="66">
        <v>9.5</v>
      </c>
      <c r="J309" s="66" t="s">
        <v>40</v>
      </c>
      <c r="K309" s="66">
        <v>112</v>
      </c>
      <c r="L309" s="105" t="s">
        <v>38</v>
      </c>
      <c r="M309" s="66">
        <f>(C309*E309*G309*I309)/K309</f>
        <v>3.0535714285714284</v>
      </c>
      <c r="N309" s="8" t="s">
        <v>11</v>
      </c>
      <c r="O309" s="106"/>
    </row>
    <row r="310" spans="1:30" ht="15" customHeight="1">
      <c r="B310" s="102"/>
      <c r="C310" s="103" t="s">
        <v>11</v>
      </c>
      <c r="D310" s="103"/>
      <c r="E310" s="102"/>
      <c r="F310" s="66"/>
      <c r="G310" s="66"/>
      <c r="H310" s="66"/>
      <c r="I310" s="66"/>
      <c r="J310" s="66"/>
      <c r="K310" s="108" t="s">
        <v>32</v>
      </c>
      <c r="L310" s="105">
        <v>4928.49</v>
      </c>
      <c r="M310" s="66" t="s">
        <v>76</v>
      </c>
      <c r="N310" s="8" t="s">
        <v>31</v>
      </c>
      <c r="O310" s="106">
        <f>B310*L310</f>
        <v>0</v>
      </c>
      <c r="AD310" s="8">
        <v>15032</v>
      </c>
    </row>
    <row r="311" spans="1:30" ht="15" customHeight="1">
      <c r="E311" s="66"/>
      <c r="F311" s="66"/>
      <c r="G311" s="66"/>
      <c r="H311" s="66"/>
      <c r="I311" s="66"/>
      <c r="J311" s="66"/>
      <c r="K311" s="66"/>
      <c r="L311" s="105"/>
      <c r="M311" s="66"/>
      <c r="O311" s="106"/>
    </row>
    <row r="312" spans="1:30" ht="15" customHeight="1">
      <c r="A312" s="8">
        <v>15</v>
      </c>
      <c r="B312" s="8" t="s">
        <v>166</v>
      </c>
      <c r="E312" s="66"/>
      <c r="F312" s="66"/>
      <c r="G312" s="66"/>
      <c r="H312" s="66"/>
      <c r="I312" s="66"/>
      <c r="J312" s="66"/>
      <c r="K312" s="66"/>
      <c r="L312" s="105"/>
      <c r="M312" s="66"/>
      <c r="O312" s="106"/>
    </row>
    <row r="313" spans="1:30" ht="15" customHeight="1">
      <c r="B313" s="8" t="s">
        <v>363</v>
      </c>
      <c r="E313" s="66"/>
      <c r="F313" s="66"/>
      <c r="G313" s="66"/>
      <c r="H313" s="66"/>
      <c r="I313" s="66"/>
      <c r="J313" s="66"/>
      <c r="K313" s="66"/>
      <c r="L313" s="105"/>
      <c r="M313" s="66"/>
      <c r="O313" s="106"/>
    </row>
    <row r="314" spans="1:30" ht="15" customHeight="1">
      <c r="B314" s="8" t="s">
        <v>168</v>
      </c>
      <c r="E314" s="66"/>
      <c r="F314" s="66"/>
      <c r="G314" s="66">
        <f>A306</f>
        <v>14</v>
      </c>
      <c r="H314" s="66"/>
      <c r="I314" s="66"/>
      <c r="J314" s="66"/>
      <c r="K314" s="100">
        <f>B310</f>
        <v>0</v>
      </c>
      <c r="L314" s="172" t="s">
        <v>36</v>
      </c>
      <c r="M314" s="66"/>
      <c r="O314" s="106"/>
    </row>
    <row r="315" spans="1:30" ht="15" customHeight="1">
      <c r="B315" s="102"/>
      <c r="C315" s="103" t="str">
        <f>L314</f>
        <v>Sft.</v>
      </c>
      <c r="D315" s="103"/>
      <c r="E315" s="102"/>
      <c r="F315" s="66"/>
      <c r="G315" s="66"/>
      <c r="H315" s="66"/>
      <c r="I315" s="66"/>
      <c r="J315" s="66"/>
      <c r="K315" s="108" t="str">
        <f>K310</f>
        <v xml:space="preserve"> @Rs:</v>
      </c>
      <c r="L315" s="105">
        <v>271.04000000000002</v>
      </c>
      <c r="M315" s="66" t="s">
        <v>76</v>
      </c>
      <c r="N315" s="8" t="s">
        <v>7</v>
      </c>
      <c r="O315" s="106">
        <f>B315*L315</f>
        <v>0</v>
      </c>
      <c r="AD315" s="8">
        <v>827</v>
      </c>
    </row>
    <row r="316" spans="1:30" ht="15" customHeight="1">
      <c r="B316" s="111"/>
      <c r="C316" s="112"/>
      <c r="D316" s="112"/>
      <c r="E316" s="111"/>
      <c r="F316" s="66"/>
      <c r="G316" s="66"/>
      <c r="H316" s="66"/>
      <c r="I316" s="66"/>
      <c r="J316" s="66"/>
      <c r="K316" s="108"/>
      <c r="L316" s="105"/>
      <c r="M316" s="66"/>
      <c r="O316" s="106"/>
    </row>
    <row r="317" spans="1:30" ht="15" customHeight="1">
      <c r="A317" s="8">
        <v>16</v>
      </c>
      <c r="B317" s="8" t="s">
        <v>169</v>
      </c>
      <c r="E317" s="66"/>
      <c r="F317" s="66"/>
      <c r="G317" s="66"/>
      <c r="H317" s="66"/>
      <c r="I317" s="66"/>
      <c r="J317" s="66"/>
      <c r="K317" s="66"/>
      <c r="L317" s="105"/>
      <c r="M317" s="66"/>
      <c r="O317" s="106"/>
    </row>
    <row r="318" spans="1:30" ht="15" customHeight="1">
      <c r="B318" s="8" t="s">
        <v>364</v>
      </c>
      <c r="E318" s="66"/>
      <c r="F318" s="66"/>
      <c r="G318" s="66"/>
      <c r="H318" s="66"/>
      <c r="I318" s="66"/>
      <c r="J318" s="66"/>
      <c r="K318" s="66"/>
      <c r="L318" s="105"/>
      <c r="M318" s="66"/>
      <c r="O318" s="106"/>
    </row>
    <row r="319" spans="1:30" ht="15" customHeight="1">
      <c r="B319" s="8" t="s">
        <v>365</v>
      </c>
      <c r="E319" s="66"/>
      <c r="F319" s="66"/>
      <c r="G319" s="66"/>
      <c r="H319" s="66"/>
      <c r="I319" s="66"/>
      <c r="J319" s="66"/>
      <c r="K319" s="66"/>
      <c r="L319" s="105"/>
      <c r="M319" s="66"/>
      <c r="O319" s="106"/>
    </row>
    <row r="320" spans="1:30" ht="15" customHeight="1">
      <c r="B320" s="114" t="s">
        <v>141</v>
      </c>
      <c r="C320" s="8">
        <v>3</v>
      </c>
      <c r="D320" s="8" t="s">
        <v>4</v>
      </c>
      <c r="E320" s="66">
        <v>3</v>
      </c>
      <c r="F320" s="66" t="s">
        <v>4</v>
      </c>
      <c r="G320" s="66">
        <v>4</v>
      </c>
      <c r="H320" s="66"/>
      <c r="I320" s="66"/>
      <c r="J320" s="66"/>
      <c r="K320" s="66"/>
      <c r="L320" s="105" t="s">
        <v>38</v>
      </c>
      <c r="M320" s="66">
        <f>(C320*E320*G320)</f>
        <v>36</v>
      </c>
      <c r="N320" s="8" t="s">
        <v>10</v>
      </c>
      <c r="O320" s="106"/>
    </row>
    <row r="321" spans="1:30" ht="15" customHeight="1">
      <c r="B321" s="102"/>
      <c r="C321" s="103" t="s">
        <v>10</v>
      </c>
      <c r="D321" s="103"/>
      <c r="E321" s="102"/>
      <c r="F321" s="66"/>
      <c r="G321" s="66"/>
      <c r="H321" s="66"/>
      <c r="I321" s="66"/>
      <c r="J321" s="66"/>
      <c r="K321" s="108" t="s">
        <v>32</v>
      </c>
      <c r="L321" s="105">
        <v>180.5</v>
      </c>
      <c r="M321" s="66" t="s">
        <v>162</v>
      </c>
      <c r="N321" s="8" t="s">
        <v>31</v>
      </c>
      <c r="O321" s="106">
        <f>B321*L321</f>
        <v>0</v>
      </c>
      <c r="AD321" s="8">
        <v>6498</v>
      </c>
    </row>
    <row r="322" spans="1:30" ht="15" hidden="1" customHeight="1">
      <c r="E322" s="66"/>
      <c r="F322" s="66"/>
      <c r="G322" s="66"/>
      <c r="H322" s="66"/>
      <c r="I322" s="66"/>
      <c r="J322" s="66"/>
      <c r="K322" s="66"/>
      <c r="L322" s="105"/>
      <c r="M322" s="66"/>
      <c r="O322" s="106"/>
    </row>
    <row r="323" spans="1:30" ht="15" hidden="1" customHeight="1">
      <c r="A323" s="115"/>
      <c r="B323" s="8" t="s">
        <v>172</v>
      </c>
      <c r="E323" s="66"/>
      <c r="F323" s="66"/>
      <c r="G323" s="66"/>
      <c r="H323" s="66"/>
      <c r="I323" s="66"/>
      <c r="J323" s="66"/>
      <c r="K323" s="66"/>
      <c r="L323" s="105"/>
      <c r="M323" s="66"/>
      <c r="O323" s="106"/>
    </row>
    <row r="324" spans="1:30" ht="15" hidden="1" customHeight="1">
      <c r="A324" s="115"/>
      <c r="B324" s="8" t="s">
        <v>173</v>
      </c>
      <c r="E324" s="66"/>
      <c r="F324" s="66"/>
      <c r="G324" s="66"/>
      <c r="H324" s="66"/>
      <c r="I324" s="66"/>
      <c r="J324" s="66"/>
      <c r="K324" s="66"/>
      <c r="L324" s="105"/>
      <c r="M324" s="66"/>
      <c r="O324" s="106"/>
    </row>
    <row r="325" spans="1:30" ht="15" hidden="1" customHeight="1">
      <c r="A325" s="115"/>
      <c r="B325" s="8" t="s">
        <v>174</v>
      </c>
      <c r="E325" s="66"/>
      <c r="F325" s="66"/>
      <c r="G325" s="66"/>
      <c r="H325" s="66"/>
      <c r="I325" s="66"/>
      <c r="J325" s="66"/>
      <c r="K325" s="66"/>
      <c r="L325" s="105"/>
      <c r="M325" s="66"/>
      <c r="O325" s="106"/>
    </row>
    <row r="326" spans="1:30" ht="15" hidden="1" customHeight="1">
      <c r="B326" s="8" t="s">
        <v>141</v>
      </c>
      <c r="C326" s="8" t="e">
        <f>#REF!</f>
        <v>#REF!</v>
      </c>
      <c r="D326" s="8" t="s">
        <v>4</v>
      </c>
      <c r="E326" s="66" t="e">
        <f>#REF!</f>
        <v>#REF!</v>
      </c>
      <c r="F326" s="66" t="s">
        <v>4</v>
      </c>
      <c r="G326" s="66" t="e">
        <f>#REF!</f>
        <v>#REF!</v>
      </c>
      <c r="H326" s="66"/>
      <c r="I326" s="66"/>
      <c r="J326" s="66" t="s">
        <v>5</v>
      </c>
      <c r="K326" s="66" t="e">
        <f>C326*E326*G326</f>
        <v>#REF!</v>
      </c>
      <c r="L326" s="105" t="s">
        <v>10</v>
      </c>
      <c r="M326" s="66"/>
      <c r="O326" s="106"/>
    </row>
    <row r="327" spans="1:30" ht="15" hidden="1" customHeight="1">
      <c r="B327" s="103">
        <v>0</v>
      </c>
      <c r="C327" s="103" t="s">
        <v>10</v>
      </c>
      <c r="D327" s="103"/>
      <c r="E327" s="102"/>
      <c r="F327" s="66"/>
      <c r="G327" s="66"/>
      <c r="H327" s="66"/>
      <c r="I327" s="66"/>
      <c r="J327" s="66"/>
      <c r="K327" s="108" t="str">
        <f>K304</f>
        <v xml:space="preserve"> @Rs:</v>
      </c>
      <c r="L327" s="105">
        <v>90.15</v>
      </c>
      <c r="M327" s="66" t="s">
        <v>162</v>
      </c>
      <c r="N327" s="8" t="s">
        <v>31</v>
      </c>
      <c r="O327" s="106">
        <f>B327*L327</f>
        <v>0</v>
      </c>
    </row>
    <row r="328" spans="1:30" ht="15" hidden="1" customHeight="1">
      <c r="E328" s="66"/>
      <c r="F328" s="66"/>
      <c r="G328" s="66"/>
      <c r="H328" s="66"/>
      <c r="I328" s="66"/>
      <c r="J328" s="66"/>
      <c r="K328" s="66"/>
      <c r="L328" s="105"/>
      <c r="M328" s="66"/>
      <c r="O328" s="106"/>
    </row>
    <row r="329" spans="1:30" ht="15" hidden="1" customHeight="1">
      <c r="A329" s="63"/>
      <c r="B329" s="8" t="s">
        <v>175</v>
      </c>
      <c r="E329" s="66"/>
      <c r="F329" s="66"/>
      <c r="G329" s="66"/>
      <c r="H329" s="66"/>
      <c r="I329" s="66"/>
      <c r="J329" s="66"/>
      <c r="K329" s="66"/>
      <c r="L329" s="105"/>
      <c r="M329" s="66"/>
      <c r="O329" s="106"/>
    </row>
    <row r="330" spans="1:30" ht="15" hidden="1" customHeight="1">
      <c r="A330" s="63"/>
      <c r="B330" s="8" t="s">
        <v>176</v>
      </c>
      <c r="E330" s="66"/>
      <c r="F330" s="66"/>
      <c r="G330" s="66"/>
      <c r="H330" s="66"/>
      <c r="I330" s="66"/>
      <c r="J330" s="66"/>
      <c r="K330" s="66"/>
      <c r="L330" s="105"/>
      <c r="M330" s="66"/>
      <c r="O330" s="106"/>
    </row>
    <row r="331" spans="1:30" ht="15" hidden="1" customHeight="1">
      <c r="A331" s="63"/>
      <c r="B331" s="8" t="s">
        <v>177</v>
      </c>
      <c r="E331" s="66"/>
      <c r="F331" s="66"/>
      <c r="G331" s="66"/>
      <c r="H331" s="66"/>
      <c r="I331" s="66"/>
      <c r="J331" s="66"/>
      <c r="K331" s="66"/>
      <c r="L331" s="105"/>
      <c r="M331" s="66"/>
      <c r="O331" s="106"/>
    </row>
    <row r="332" spans="1:30" ht="15" hidden="1" customHeight="1">
      <c r="B332" s="40" t="s">
        <v>141</v>
      </c>
      <c r="E332" s="66"/>
      <c r="F332" s="66"/>
      <c r="G332" s="66"/>
      <c r="H332" s="66"/>
      <c r="I332" s="66"/>
      <c r="J332" s="66"/>
      <c r="K332" s="66"/>
      <c r="L332" s="105"/>
      <c r="M332" s="66"/>
      <c r="O332" s="106"/>
    </row>
    <row r="333" spans="1:30" ht="15" hidden="1" customHeight="1">
      <c r="B333" s="102">
        <f>B327</f>
        <v>0</v>
      </c>
      <c r="C333" s="103" t="s">
        <v>10</v>
      </c>
      <c r="D333" s="103"/>
      <c r="E333" s="102"/>
      <c r="F333" s="66"/>
      <c r="G333" s="66"/>
      <c r="H333" s="66"/>
      <c r="I333" s="66"/>
      <c r="J333" s="66"/>
      <c r="K333" s="108" t="str">
        <f>K327</f>
        <v xml:space="preserve"> @Rs:</v>
      </c>
      <c r="L333" s="105">
        <v>180.5</v>
      </c>
      <c r="M333" s="66" t="s">
        <v>162</v>
      </c>
      <c r="N333" s="8" t="s">
        <v>31</v>
      </c>
      <c r="O333" s="106">
        <f>B333*L333</f>
        <v>0</v>
      </c>
    </row>
    <row r="334" spans="1:30" ht="15" customHeight="1">
      <c r="E334" s="66"/>
      <c r="F334" s="66"/>
      <c r="G334" s="66"/>
      <c r="H334" s="66"/>
      <c r="I334" s="66"/>
      <c r="J334" s="66"/>
      <c r="K334" s="108"/>
      <c r="L334" s="105"/>
      <c r="M334" s="66"/>
      <c r="O334" s="106"/>
    </row>
    <row r="335" spans="1:30" ht="15" customHeight="1">
      <c r="A335" s="8">
        <v>17</v>
      </c>
      <c r="B335" s="52" t="s">
        <v>178</v>
      </c>
      <c r="E335" s="66"/>
      <c r="F335" s="66"/>
      <c r="G335" s="66"/>
      <c r="H335" s="66"/>
      <c r="I335" s="66"/>
      <c r="J335" s="66"/>
      <c r="K335" s="66"/>
      <c r="L335" s="105"/>
      <c r="M335" s="66"/>
      <c r="O335" s="106"/>
    </row>
    <row r="336" spans="1:30" ht="15" customHeight="1">
      <c r="B336" s="8" t="s">
        <v>179</v>
      </c>
      <c r="E336" s="66"/>
      <c r="F336" s="66"/>
      <c r="G336" s="66"/>
      <c r="H336" s="66"/>
      <c r="I336" s="66"/>
      <c r="J336" s="66"/>
      <c r="K336" s="66"/>
      <c r="L336" s="105"/>
      <c r="M336" s="66"/>
      <c r="O336" s="106"/>
    </row>
    <row r="337" spans="1:30" ht="15" customHeight="1">
      <c r="B337" s="8" t="s">
        <v>180</v>
      </c>
      <c r="E337" s="66"/>
      <c r="F337" s="66"/>
      <c r="G337" s="66"/>
      <c r="H337" s="66"/>
      <c r="I337" s="66"/>
      <c r="J337" s="66"/>
      <c r="K337" s="66"/>
      <c r="L337" s="105"/>
      <c r="M337" s="66"/>
      <c r="O337" s="106"/>
    </row>
    <row r="338" spans="1:30" ht="15" customHeight="1">
      <c r="B338" s="8" t="s">
        <v>168</v>
      </c>
      <c r="E338" s="66"/>
      <c r="F338" s="66"/>
      <c r="G338" s="98">
        <f>A184</f>
        <v>8</v>
      </c>
      <c r="H338" s="98"/>
      <c r="I338" s="98"/>
      <c r="J338" s="98"/>
      <c r="K338" s="66"/>
      <c r="L338" s="105" t="s">
        <v>38</v>
      </c>
      <c r="M338" s="66">
        <f>B187</f>
        <v>12</v>
      </c>
      <c r="N338" s="8" t="s">
        <v>10</v>
      </c>
      <c r="O338" s="106"/>
    </row>
    <row r="339" spans="1:30" ht="15" customHeight="1">
      <c r="B339" s="8" t="s">
        <v>168</v>
      </c>
      <c r="E339" s="66"/>
      <c r="F339" s="66"/>
      <c r="G339" s="98">
        <f>A166</f>
        <v>8</v>
      </c>
      <c r="H339" s="98"/>
      <c r="I339" s="98"/>
      <c r="J339" s="98"/>
      <c r="K339" s="66"/>
      <c r="L339" s="105" t="s">
        <v>38</v>
      </c>
      <c r="M339" s="66">
        <f>B182</f>
        <v>194.83500000000001</v>
      </c>
      <c r="N339" s="8" t="s">
        <v>10</v>
      </c>
      <c r="O339" s="106"/>
    </row>
    <row r="340" spans="1:30" ht="15" customHeight="1">
      <c r="E340" s="66"/>
      <c r="F340" s="66"/>
      <c r="G340" s="98"/>
      <c r="H340" s="98"/>
      <c r="I340" s="98"/>
      <c r="J340" s="98"/>
      <c r="K340" s="66"/>
      <c r="L340" s="105"/>
      <c r="M340" s="66">
        <f>SUM(M338:M339)</f>
        <v>206.83500000000001</v>
      </c>
      <c r="N340" s="8" t="s">
        <v>10</v>
      </c>
      <c r="O340" s="106"/>
    </row>
    <row r="341" spans="1:30" ht="15" customHeight="1">
      <c r="B341" s="102">
        <f>M340</f>
        <v>206.83500000000001</v>
      </c>
      <c r="C341" s="103" t="s">
        <v>10</v>
      </c>
      <c r="D341" s="103"/>
      <c r="E341" s="102"/>
      <c r="F341" s="66"/>
      <c r="G341" s="98"/>
      <c r="H341" s="98"/>
      <c r="I341" s="98"/>
      <c r="J341" s="98"/>
      <c r="K341" s="108" t="str">
        <f>K333</f>
        <v xml:space="preserve"> @Rs:</v>
      </c>
      <c r="L341" s="105">
        <v>2116.41</v>
      </c>
      <c r="M341" s="66" t="s">
        <v>9</v>
      </c>
      <c r="N341" s="8" t="s">
        <v>31</v>
      </c>
      <c r="O341" s="106">
        <f>B341*L341/100</f>
        <v>4377.4766234999997</v>
      </c>
      <c r="AD341" s="8">
        <v>2709</v>
      </c>
    </row>
    <row r="342" spans="1:30" ht="15" customHeight="1">
      <c r="B342" s="113"/>
      <c r="C342" s="113"/>
      <c r="D342" s="113"/>
      <c r="E342" s="114"/>
      <c r="F342" s="66"/>
      <c r="G342" s="98"/>
      <c r="H342" s="98"/>
      <c r="I342" s="98"/>
      <c r="J342" s="98"/>
      <c r="K342" s="66"/>
      <c r="L342" s="105"/>
      <c r="M342" s="66"/>
      <c r="O342" s="106"/>
    </row>
    <row r="343" spans="1:30" ht="15" customHeight="1">
      <c r="A343" s="8">
        <v>18</v>
      </c>
      <c r="B343" s="8" t="s">
        <v>181</v>
      </c>
      <c r="E343" s="66"/>
      <c r="F343" s="66"/>
      <c r="G343" s="98"/>
      <c r="H343" s="98"/>
      <c r="I343" s="98"/>
      <c r="J343" s="98"/>
      <c r="K343" s="66"/>
      <c r="L343" s="105"/>
      <c r="M343" s="66"/>
      <c r="O343" s="106"/>
    </row>
    <row r="344" spans="1:30" ht="15" hidden="1" customHeight="1">
      <c r="B344" s="8" t="s">
        <v>182</v>
      </c>
      <c r="E344" s="66">
        <f>A294</f>
        <v>11</v>
      </c>
      <c r="F344" s="66"/>
      <c r="G344" s="98"/>
      <c r="H344" s="98"/>
      <c r="I344" s="98"/>
      <c r="J344" s="98"/>
      <c r="K344" s="100">
        <v>0</v>
      </c>
      <c r="L344" s="105" t="s">
        <v>10</v>
      </c>
      <c r="M344" s="66"/>
      <c r="O344" s="106"/>
    </row>
    <row r="345" spans="1:30" ht="15" customHeight="1">
      <c r="B345" s="8" t="s">
        <v>302</v>
      </c>
      <c r="C345" s="8" t="s">
        <v>168</v>
      </c>
      <c r="E345" s="66"/>
      <c r="F345" s="66"/>
      <c r="G345" s="98"/>
      <c r="H345" s="98"/>
      <c r="I345" s="98">
        <f>A190</f>
        <v>0</v>
      </c>
      <c r="J345" s="98"/>
      <c r="K345" s="66"/>
      <c r="L345" s="105" t="s">
        <v>38</v>
      </c>
      <c r="M345" s="66">
        <f>B193</f>
        <v>0</v>
      </c>
      <c r="N345" s="8" t="s">
        <v>10</v>
      </c>
      <c r="O345" s="106"/>
    </row>
    <row r="346" spans="1:30" ht="15" customHeight="1">
      <c r="C346" s="8" t="s">
        <v>168</v>
      </c>
      <c r="E346" s="66"/>
      <c r="F346" s="66"/>
      <c r="G346" s="98"/>
      <c r="H346" s="98"/>
      <c r="I346" s="98">
        <f>A173</f>
        <v>0</v>
      </c>
      <c r="J346" s="98"/>
      <c r="K346" s="66"/>
      <c r="L346" s="105" t="s">
        <v>38</v>
      </c>
      <c r="M346" s="66">
        <f>B188</f>
        <v>0</v>
      </c>
      <c r="N346" s="8" t="s">
        <v>10</v>
      </c>
      <c r="O346" s="106"/>
    </row>
    <row r="347" spans="1:30" ht="15" customHeight="1">
      <c r="E347" s="66"/>
      <c r="F347" s="66"/>
      <c r="G347" s="66"/>
      <c r="H347" s="66"/>
      <c r="I347" s="66"/>
      <c r="J347" s="66"/>
      <c r="K347" s="66"/>
      <c r="L347" s="105"/>
      <c r="M347" s="66">
        <f>SUM(M345:M346)</f>
        <v>0</v>
      </c>
      <c r="N347" s="8" t="s">
        <v>10</v>
      </c>
      <c r="O347" s="106"/>
    </row>
    <row r="348" spans="1:30" ht="15" customHeight="1">
      <c r="B348" s="102">
        <f>M347</f>
        <v>0</v>
      </c>
      <c r="C348" s="103" t="s">
        <v>10</v>
      </c>
      <c r="D348" s="103"/>
      <c r="E348" s="102"/>
      <c r="F348" s="66"/>
      <c r="G348" s="66"/>
      <c r="H348" s="66"/>
      <c r="I348" s="66"/>
      <c r="J348" s="66"/>
      <c r="K348" s="108" t="str">
        <f>K341</f>
        <v xml:space="preserve"> @Rs:</v>
      </c>
      <c r="L348" s="105">
        <v>829.95</v>
      </c>
      <c r="M348" s="66" t="s">
        <v>9</v>
      </c>
      <c r="N348" s="8" t="s">
        <v>31</v>
      </c>
      <c r="O348" s="106">
        <f>B348*L348/100</f>
        <v>0</v>
      </c>
      <c r="AD348" s="8">
        <v>1693</v>
      </c>
    </row>
    <row r="349" spans="1:30" ht="15" customHeight="1">
      <c r="E349" s="66"/>
      <c r="F349" s="66"/>
      <c r="G349" s="66"/>
      <c r="H349" s="66"/>
      <c r="I349" s="66"/>
      <c r="J349" s="66"/>
      <c r="K349" s="66"/>
      <c r="L349" s="105"/>
      <c r="M349" s="66"/>
      <c r="O349" s="106"/>
    </row>
    <row r="350" spans="1:30" ht="15" customHeight="1">
      <c r="A350" s="8">
        <v>19</v>
      </c>
      <c r="B350" s="8" t="s">
        <v>183</v>
      </c>
      <c r="E350" s="66"/>
      <c r="F350" s="66"/>
      <c r="G350" s="66"/>
      <c r="H350" s="66"/>
      <c r="I350" s="66"/>
      <c r="J350" s="66"/>
      <c r="K350" s="66"/>
      <c r="L350" s="105"/>
      <c r="M350" s="66"/>
      <c r="O350" s="106"/>
    </row>
    <row r="351" spans="1:30" ht="15" customHeight="1">
      <c r="B351" s="8" t="s">
        <v>182</v>
      </c>
      <c r="E351" s="66"/>
      <c r="F351" s="66"/>
      <c r="G351" s="98">
        <f>A294</f>
        <v>11</v>
      </c>
      <c r="H351" s="66"/>
      <c r="I351" s="66"/>
      <c r="J351" s="66"/>
      <c r="K351" s="100">
        <f>B295</f>
        <v>0</v>
      </c>
      <c r="L351" s="105" t="s">
        <v>10</v>
      </c>
      <c r="M351" s="66"/>
      <c r="O351" s="106"/>
    </row>
    <row r="352" spans="1:30" ht="15" customHeight="1">
      <c r="B352" s="103">
        <f>K351</f>
        <v>0</v>
      </c>
      <c r="C352" s="103" t="s">
        <v>10</v>
      </c>
      <c r="D352" s="103"/>
      <c r="E352" s="102"/>
      <c r="F352" s="66"/>
      <c r="G352" s="98"/>
      <c r="H352" s="66"/>
      <c r="I352" s="66"/>
      <c r="J352" s="66"/>
      <c r="K352" s="108" t="str">
        <f>K348</f>
        <v xml:space="preserve"> @Rs:</v>
      </c>
      <c r="L352" s="105">
        <v>416.63</v>
      </c>
      <c r="M352" s="66" t="s">
        <v>9</v>
      </c>
      <c r="N352" s="8" t="s">
        <v>31</v>
      </c>
      <c r="O352" s="106">
        <f>B352*L352/100</f>
        <v>0</v>
      </c>
      <c r="AD352" s="8">
        <v>1567</v>
      </c>
    </row>
    <row r="353" spans="1:30" ht="15" customHeight="1">
      <c r="B353" s="103"/>
      <c r="C353" s="103"/>
      <c r="D353" s="103"/>
      <c r="E353" s="102"/>
      <c r="F353" s="66"/>
      <c r="G353" s="98"/>
      <c r="H353" s="66"/>
      <c r="I353" s="66"/>
      <c r="J353" s="66"/>
      <c r="K353" s="108"/>
      <c r="L353" s="105"/>
      <c r="M353" s="66"/>
      <c r="O353" s="106"/>
    </row>
    <row r="354" spans="1:30" ht="15" customHeight="1">
      <c r="A354" s="8">
        <v>20</v>
      </c>
      <c r="B354" s="8" t="s">
        <v>184</v>
      </c>
      <c r="E354" s="66"/>
      <c r="F354" s="66"/>
      <c r="G354" s="98"/>
      <c r="H354" s="66"/>
      <c r="I354" s="66"/>
      <c r="J354" s="66"/>
      <c r="K354" s="66"/>
      <c r="L354" s="105"/>
      <c r="M354" s="66"/>
      <c r="O354" s="106"/>
    </row>
    <row r="355" spans="1:30" ht="15" customHeight="1">
      <c r="B355" s="8" t="s">
        <v>185</v>
      </c>
      <c r="E355" s="66"/>
      <c r="F355" s="66"/>
      <c r="G355" s="98">
        <f>G351</f>
        <v>11</v>
      </c>
      <c r="H355" s="66"/>
      <c r="I355" s="66"/>
      <c r="J355" s="66"/>
      <c r="K355" s="66">
        <f>K351</f>
        <v>0</v>
      </c>
      <c r="L355" s="105" t="s">
        <v>10</v>
      </c>
      <c r="M355" s="66"/>
      <c r="O355" s="106"/>
    </row>
    <row r="356" spans="1:30" ht="15" customHeight="1">
      <c r="B356" s="8" t="s">
        <v>185</v>
      </c>
      <c r="E356" s="66"/>
      <c r="F356" s="66"/>
      <c r="G356" s="98">
        <f>A297</f>
        <v>12</v>
      </c>
      <c r="H356" s="66"/>
      <c r="I356" s="66"/>
      <c r="J356" s="66"/>
      <c r="K356" s="66">
        <f>B298</f>
        <v>0</v>
      </c>
      <c r="L356" s="105" t="s">
        <v>10</v>
      </c>
      <c r="M356" s="66"/>
      <c r="O356" s="106"/>
    </row>
    <row r="357" spans="1:30" ht="15" customHeight="1">
      <c r="E357" s="66"/>
      <c r="F357" s="66"/>
      <c r="G357" s="98"/>
      <c r="H357" s="66"/>
      <c r="I357" s="66"/>
      <c r="J357" s="66"/>
      <c r="K357" s="66">
        <f>SUM(K355:K356)</f>
        <v>0</v>
      </c>
      <c r="L357" s="105" t="s">
        <v>10</v>
      </c>
      <c r="M357" s="66"/>
      <c r="O357" s="106"/>
      <c r="R357"/>
      <c r="S357"/>
      <c r="T357"/>
      <c r="U357"/>
      <c r="V357"/>
    </row>
    <row r="358" spans="1:30" ht="15" customHeight="1">
      <c r="B358" s="103">
        <f>K357</f>
        <v>0</v>
      </c>
      <c r="C358" s="103" t="s">
        <v>10</v>
      </c>
      <c r="D358" s="103"/>
      <c r="E358" s="102"/>
      <c r="F358" s="66"/>
      <c r="G358" s="66"/>
      <c r="H358" s="66"/>
      <c r="I358" s="66"/>
      <c r="J358" s="66"/>
      <c r="K358" s="108" t="str">
        <f>K348</f>
        <v xml:space="preserve"> @Rs:</v>
      </c>
      <c r="L358" s="105">
        <v>859.9</v>
      </c>
      <c r="M358" s="66" t="s">
        <v>9</v>
      </c>
      <c r="N358" s="8" t="s">
        <v>31</v>
      </c>
      <c r="O358" s="106">
        <f>B358*L358/100</f>
        <v>0</v>
      </c>
      <c r="R358"/>
      <c r="S358"/>
      <c r="T358"/>
      <c r="U358"/>
      <c r="V358"/>
      <c r="AD358" s="8">
        <v>6982</v>
      </c>
    </row>
    <row r="359" spans="1:30" ht="15" customHeight="1">
      <c r="B359" s="103"/>
      <c r="C359" s="103"/>
      <c r="D359" s="103"/>
      <c r="E359" s="102"/>
      <c r="F359" s="66"/>
      <c r="G359" s="66"/>
      <c r="H359" s="66"/>
      <c r="I359" s="66"/>
      <c r="J359" s="66"/>
      <c r="K359" s="108"/>
      <c r="L359" s="105"/>
      <c r="M359" s="100" t="s">
        <v>6</v>
      </c>
      <c r="N359" s="107" t="s">
        <v>31</v>
      </c>
      <c r="O359" s="117">
        <f>SUM(O18:O358)</f>
        <v>758893.2341866832</v>
      </c>
      <c r="R359"/>
      <c r="S359"/>
      <c r="T359"/>
      <c r="U359"/>
      <c r="V359"/>
    </row>
    <row r="360" spans="1:30" ht="15" customHeight="1">
      <c r="E360" s="66"/>
      <c r="F360" s="66"/>
      <c r="G360" s="66"/>
      <c r="H360" s="66"/>
      <c r="I360" s="66"/>
      <c r="J360" s="66"/>
      <c r="K360" s="66"/>
      <c r="L360" s="105"/>
      <c r="M360" s="66"/>
      <c r="R360"/>
      <c r="S360"/>
      <c r="T360"/>
      <c r="U360"/>
      <c r="V360"/>
    </row>
    <row r="361" spans="1:30" ht="15" customHeight="1">
      <c r="B361" s="17" t="s">
        <v>23</v>
      </c>
      <c r="E361" s="66"/>
      <c r="F361" s="66"/>
      <c r="G361" s="66"/>
      <c r="H361" s="66"/>
      <c r="I361" s="66"/>
      <c r="J361" s="66"/>
      <c r="K361" s="66"/>
      <c r="L361" s="105"/>
      <c r="M361" s="66"/>
    </row>
    <row r="362" spans="1:30" ht="15" customHeight="1">
      <c r="B362" s="8" t="str">
        <f>'[1]lead chart'!B11</f>
        <v xml:space="preserve">Hill Sand From Bolhari      </v>
      </c>
      <c r="E362" s="66"/>
      <c r="F362" s="66"/>
      <c r="G362" s="66"/>
      <c r="H362" s="66"/>
      <c r="I362" s="66"/>
      <c r="J362" s="66"/>
      <c r="K362" s="66"/>
      <c r="L362" s="105"/>
      <c r="M362" s="66"/>
    </row>
    <row r="363" spans="1:30" customFormat="1">
      <c r="B363" s="2">
        <f>S.Mat!I14</f>
        <v>860.61761197500005</v>
      </c>
      <c r="C363" t="s">
        <v>8</v>
      </c>
      <c r="K363" s="49" t="s">
        <v>32</v>
      </c>
      <c r="L363" s="18" t="e">
        <f>#REF!</f>
        <v>#REF!</v>
      </c>
      <c r="M363" t="s">
        <v>14</v>
      </c>
      <c r="N363" t="s">
        <v>31</v>
      </c>
      <c r="O363" s="106" t="e">
        <f>B363*L363/100</f>
        <v>#REF!</v>
      </c>
      <c r="AD363">
        <v>5148</v>
      </c>
    </row>
    <row r="364" spans="1:30" ht="15" customHeight="1">
      <c r="L364" s="92"/>
    </row>
    <row r="365" spans="1:30" ht="15" customHeight="1">
      <c r="A365" s="8" t="s">
        <v>26</v>
      </c>
      <c r="B365" s="8" t="str">
        <f>'[1]lead chart'!B19</f>
        <v xml:space="preserve">Bajri Shingle from Laki  </v>
      </c>
      <c r="L365" s="92"/>
    </row>
    <row r="366" spans="1:30" customFormat="1">
      <c r="B366" s="2">
        <f>S.Mat!G14</f>
        <v>656.31760200000008</v>
      </c>
      <c r="C366" t="s">
        <v>8</v>
      </c>
      <c r="K366" s="49" t="s">
        <v>32</v>
      </c>
      <c r="L366" s="18" t="e">
        <f>#REF!</f>
        <v>#REF!</v>
      </c>
      <c r="M366" t="s">
        <v>14</v>
      </c>
      <c r="N366" t="s">
        <v>31</v>
      </c>
      <c r="O366" s="106" t="e">
        <f>B366*L366/100</f>
        <v>#REF!</v>
      </c>
      <c r="AD366">
        <v>5148</v>
      </c>
    </row>
    <row r="367" spans="1:30" ht="15" customHeight="1">
      <c r="L367" s="92"/>
    </row>
    <row r="368" spans="1:30" ht="15" customHeight="1">
      <c r="B368" s="8" t="str">
        <f>'[1]lead chart'!B27</f>
        <v xml:space="preserve">Stone From Amri    </v>
      </c>
    </row>
    <row r="369" spans="2:30" customFormat="1">
      <c r="B369" s="2">
        <f>S.Mat!H14</f>
        <v>314.66846399999991</v>
      </c>
      <c r="C369" t="s">
        <v>8</v>
      </c>
      <c r="K369" s="49" t="s">
        <v>32</v>
      </c>
      <c r="L369" s="18" t="e">
        <f>#REF!</f>
        <v>#REF!</v>
      </c>
      <c r="M369" t="s">
        <v>14</v>
      </c>
      <c r="N369" t="s">
        <v>31</v>
      </c>
      <c r="O369" s="106" t="e">
        <f>B369*L369/100</f>
        <v>#REF!</v>
      </c>
      <c r="AD369">
        <v>5148</v>
      </c>
    </row>
    <row r="370" spans="2:30" ht="15" customHeight="1"/>
    <row r="371" spans="2:30" ht="15" customHeight="1">
      <c r="B371" s="8" t="str">
        <f>'[1]lead chart'!B35</f>
        <v xml:space="preserve">Bricks 1000 No. </v>
      </c>
    </row>
    <row r="372" spans="2:30" customFormat="1">
      <c r="B372" s="2">
        <f>S.Mat!K14</f>
        <v>14872.2289425</v>
      </c>
      <c r="C372" t="s">
        <v>46</v>
      </c>
      <c r="K372" s="49" t="s">
        <v>32</v>
      </c>
      <c r="L372" s="18" t="e">
        <f>#REF!</f>
        <v>#REF!</v>
      </c>
      <c r="M372" t="s">
        <v>198</v>
      </c>
      <c r="N372" t="s">
        <v>31</v>
      </c>
      <c r="O372" s="106" t="e">
        <f>B372*L372/1000</f>
        <v>#REF!</v>
      </c>
      <c r="AD372">
        <v>5148</v>
      </c>
    </row>
    <row r="373" spans="2:30" ht="15" customHeight="1"/>
    <row r="374" spans="2:30">
      <c r="B374" s="8" t="str">
        <f>'[1]lead chart'!B43</f>
        <v xml:space="preserve">Cement From Zeel Pak Hyderabad  </v>
      </c>
    </row>
    <row r="375" spans="2:30" customFormat="1">
      <c r="B375" s="2">
        <f>S.Mat!J14</f>
        <v>191.38053995000001</v>
      </c>
      <c r="C375" t="s">
        <v>191</v>
      </c>
      <c r="K375" s="49" t="s">
        <v>32</v>
      </c>
      <c r="L375" s="18" t="e">
        <f>#REF!</f>
        <v>#REF!</v>
      </c>
      <c r="M375" t="s">
        <v>47</v>
      </c>
      <c r="N375" t="s">
        <v>31</v>
      </c>
      <c r="O375" s="106" t="e">
        <f>B375*L375</f>
        <v>#REF!</v>
      </c>
      <c r="AD375">
        <v>5148</v>
      </c>
    </row>
    <row r="377" spans="2:30">
      <c r="B377" s="66" t="s">
        <v>44</v>
      </c>
    </row>
    <row r="378" spans="2:30" customFormat="1" ht="16.5">
      <c r="C378" t="s">
        <v>8</v>
      </c>
      <c r="K378" s="49" t="s">
        <v>32</v>
      </c>
      <c r="L378" s="44">
        <v>579.41</v>
      </c>
      <c r="M378" t="s">
        <v>14</v>
      </c>
      <c r="N378" t="s">
        <v>31</v>
      </c>
      <c r="O378" s="106">
        <f>B378*L378/100</f>
        <v>0</v>
      </c>
      <c r="R378" s="7"/>
      <c r="S378" s="7"/>
      <c r="T378" s="7"/>
      <c r="U378" s="7"/>
      <c r="V378" s="7"/>
      <c r="AD378">
        <v>5148</v>
      </c>
    </row>
    <row r="379" spans="2:30">
      <c r="N379" t="s">
        <v>31</v>
      </c>
      <c r="O379" s="106" t="e">
        <f>SUM(O363:O378)</f>
        <v>#REF!</v>
      </c>
      <c r="R379" s="7"/>
      <c r="S379" s="7"/>
      <c r="T379" s="7"/>
      <c r="U379" s="7"/>
      <c r="V379" s="7"/>
    </row>
    <row r="380" spans="2:30">
      <c r="R380" s="7"/>
      <c r="S380" s="7"/>
      <c r="T380" s="7"/>
      <c r="U380" s="7"/>
      <c r="V380" s="7"/>
    </row>
    <row r="381" spans="2:30" s="7" customFormat="1" ht="15">
      <c r="L381" s="7" t="s">
        <v>48</v>
      </c>
      <c r="N381" s="22" t="s">
        <v>7</v>
      </c>
      <c r="O381" s="48">
        <f>O359</f>
        <v>758893.2341866832</v>
      </c>
    </row>
    <row r="382" spans="2:30" s="7" customFormat="1" ht="12.75">
      <c r="O382" s="45"/>
    </row>
    <row r="383" spans="2:30" s="7" customFormat="1" ht="15">
      <c r="L383" s="7" t="s">
        <v>49</v>
      </c>
      <c r="N383" s="22" t="s">
        <v>7</v>
      </c>
      <c r="O383" s="48">
        <v>0</v>
      </c>
    </row>
    <row r="384" spans="2:30" s="7" customFormat="1" ht="12.75">
      <c r="N384" s="21" t="s">
        <v>7</v>
      </c>
      <c r="O384" s="9" t="e">
        <f>SUM(O379:O383)</f>
        <v>#REF!</v>
      </c>
    </row>
    <row r="385" spans="10:22" s="7" customFormat="1">
      <c r="O385" s="45"/>
      <c r="R385" s="8"/>
      <c r="S385" s="8"/>
      <c r="T385" s="8"/>
      <c r="U385" s="8"/>
      <c r="V385" s="8"/>
    </row>
    <row r="386" spans="10:22" s="7" customFormat="1" ht="16.5">
      <c r="J386" s="60" t="s">
        <v>45</v>
      </c>
      <c r="K386" s="73">
        <v>0</v>
      </c>
      <c r="L386" s="7" t="s">
        <v>50</v>
      </c>
      <c r="N386" s="22" t="s">
        <v>7</v>
      </c>
      <c r="O386" s="48" t="e">
        <f>O384*K386</f>
        <v>#REF!</v>
      </c>
      <c r="R386" s="8"/>
      <c r="S386" s="8"/>
      <c r="T386" s="8"/>
      <c r="U386" s="8"/>
      <c r="V386" s="8"/>
    </row>
    <row r="387" spans="10:22" s="7" customFormat="1">
      <c r="M387" s="3" t="s">
        <v>51</v>
      </c>
      <c r="N387" s="21" t="s">
        <v>7</v>
      </c>
      <c r="O387" s="9" t="e">
        <f>O384-O386</f>
        <v>#REF!</v>
      </c>
      <c r="R387" s="8"/>
      <c r="S387" s="8"/>
      <c r="T387" s="8"/>
      <c r="U387" s="8"/>
      <c r="V387" s="8"/>
    </row>
  </sheetData>
  <mergeCells count="7">
    <mergeCell ref="L291:M291"/>
    <mergeCell ref="G163:H163"/>
    <mergeCell ref="A1:O2"/>
    <mergeCell ref="F159:G159"/>
    <mergeCell ref="C126:E126"/>
    <mergeCell ref="G126:I126"/>
    <mergeCell ref="L288:M288"/>
  </mergeCells>
  <pageMargins left="0.77" right="0.23" top="0.34" bottom="0.27" header="0.25" footer="0.23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Q21"/>
  <sheetViews>
    <sheetView topLeftCell="A10" workbookViewId="0">
      <selection activeCell="H27" sqref="H27"/>
    </sheetView>
  </sheetViews>
  <sheetFormatPr defaultRowHeight="12.75"/>
  <cols>
    <col min="1" max="1" width="6" customWidth="1"/>
    <col min="2" max="2" width="20.140625" customWidth="1"/>
    <col min="3" max="3" width="5.85546875" customWidth="1"/>
    <col min="4" max="4" width="2.28515625" customWidth="1"/>
    <col min="5" max="5" width="6.42578125" customWidth="1"/>
    <col min="6" max="6" width="13.42578125" customWidth="1"/>
    <col min="7" max="7" width="13.140625" customWidth="1"/>
    <col min="8" max="8" width="13.7109375" customWidth="1"/>
    <col min="9" max="9" width="15.140625" customWidth="1"/>
    <col min="10" max="10" width="13.7109375" customWidth="1"/>
    <col min="11" max="11" width="15.140625" customWidth="1"/>
  </cols>
  <sheetData>
    <row r="1" spans="1:17" ht="15.75">
      <c r="A1" s="308" t="s">
        <v>24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17">
      <c r="A2" s="76" t="s">
        <v>120</v>
      </c>
    </row>
    <row r="3" spans="1:17">
      <c r="A3" s="76"/>
    </row>
    <row r="4" spans="1:17" ht="30" customHeight="1">
      <c r="A4" s="14" t="s">
        <v>16</v>
      </c>
      <c r="B4" s="309" t="s">
        <v>0</v>
      </c>
      <c r="C4" s="310"/>
      <c r="D4" s="310"/>
      <c r="E4" s="311"/>
      <c r="F4" s="14" t="s">
        <v>17</v>
      </c>
      <c r="G4" s="14" t="s">
        <v>18</v>
      </c>
      <c r="H4" s="14" t="s">
        <v>19</v>
      </c>
      <c r="I4" s="14" t="s">
        <v>20</v>
      </c>
      <c r="J4" s="14" t="s">
        <v>21</v>
      </c>
      <c r="K4" s="14" t="s">
        <v>22</v>
      </c>
    </row>
    <row r="5" spans="1:17" ht="30" customHeight="1">
      <c r="A5" s="15">
        <v>1</v>
      </c>
      <c r="B5" s="312" t="s">
        <v>116</v>
      </c>
      <c r="C5" s="313"/>
      <c r="D5" s="313"/>
      <c r="E5" s="314"/>
      <c r="F5" s="120">
        <f>S.Quarter!B35+S.Quarter!B210</f>
        <v>327.77964999999995</v>
      </c>
      <c r="G5" s="95">
        <v>0</v>
      </c>
      <c r="H5" s="16">
        <f>F5*96%</f>
        <v>314.66846399999991</v>
      </c>
      <c r="I5" s="16">
        <f>F5*48%</f>
        <v>157.33423199999996</v>
      </c>
      <c r="J5" s="16">
        <f>F5*9.6%</f>
        <v>31.466846399999994</v>
      </c>
      <c r="K5" s="95">
        <v>0</v>
      </c>
    </row>
    <row r="6" spans="1:17" ht="30" customHeight="1">
      <c r="A6" s="15">
        <v>2</v>
      </c>
      <c r="B6" s="312" t="s">
        <v>117</v>
      </c>
      <c r="C6" s="313"/>
      <c r="D6" s="313"/>
      <c r="E6" s="314"/>
      <c r="F6" s="16">
        <f>S.Quarter!B53</f>
        <v>396.01499999999999</v>
      </c>
      <c r="G6" s="16">
        <f>F6*92%</f>
        <v>364.3338</v>
      </c>
      <c r="H6" s="95">
        <v>0</v>
      </c>
      <c r="I6" s="16">
        <f>F6*46%</f>
        <v>182.1669</v>
      </c>
      <c r="J6" s="16">
        <f>F6*13%</f>
        <v>51.481949999999998</v>
      </c>
      <c r="K6" s="95">
        <v>0</v>
      </c>
    </row>
    <row r="7" spans="1:17" ht="30" customHeight="1">
      <c r="A7" s="15">
        <v>3</v>
      </c>
      <c r="B7" s="312" t="s">
        <v>192</v>
      </c>
      <c r="C7" s="313"/>
      <c r="D7" s="313"/>
      <c r="E7" s="314"/>
      <c r="F7" s="16">
        <f>S.Quarter!B127</f>
        <v>952.45017499999994</v>
      </c>
      <c r="G7" s="95">
        <v>0</v>
      </c>
      <c r="H7" s="95">
        <v>0</v>
      </c>
      <c r="I7" s="16">
        <f>F7*25.7%</f>
        <v>244.77969497499998</v>
      </c>
      <c r="J7" s="16">
        <f>F7*3.44%</f>
        <v>32.76428602</v>
      </c>
      <c r="K7" s="16">
        <f>F7*1350%</f>
        <v>12858.0773625</v>
      </c>
    </row>
    <row r="8" spans="1:17" ht="30" customHeight="1">
      <c r="A8" s="15">
        <v>4</v>
      </c>
      <c r="B8" s="312" t="s">
        <v>193</v>
      </c>
      <c r="C8" s="313"/>
      <c r="D8" s="313"/>
      <c r="E8" s="314"/>
      <c r="F8" s="16">
        <f>S.Quarter!B158</f>
        <v>269.79977500000007</v>
      </c>
      <c r="G8" s="16">
        <f>F8*88%</f>
        <v>237.42380200000005</v>
      </c>
      <c r="H8" s="95">
        <v>0</v>
      </c>
      <c r="I8" s="16">
        <f>F8*44%</f>
        <v>118.71190100000003</v>
      </c>
      <c r="J8" s="16">
        <f>F8*17.6%</f>
        <v>47.484760400000013</v>
      </c>
      <c r="K8" s="95">
        <v>0</v>
      </c>
    </row>
    <row r="9" spans="1:17" ht="30" customHeight="1">
      <c r="A9" s="15">
        <v>5</v>
      </c>
      <c r="B9" s="315" t="s">
        <v>194</v>
      </c>
      <c r="C9" s="317"/>
      <c r="D9" s="317"/>
      <c r="E9" s="318"/>
      <c r="F9" s="68">
        <f>S.Quarter!B222</f>
        <v>248</v>
      </c>
      <c r="G9" s="68">
        <f>F9*22%</f>
        <v>54.56</v>
      </c>
      <c r="H9" s="96">
        <v>0</v>
      </c>
      <c r="I9" s="68">
        <f>F9*11%</f>
        <v>27.28</v>
      </c>
      <c r="J9" s="68">
        <f>F9*4.4%</f>
        <v>10.912000000000001</v>
      </c>
      <c r="K9" s="96">
        <v>0</v>
      </c>
    </row>
    <row r="10" spans="1:17" ht="30" customHeight="1">
      <c r="A10" s="15">
        <v>6</v>
      </c>
      <c r="B10" s="315" t="s">
        <v>366</v>
      </c>
      <c r="C10" s="317"/>
      <c r="D10" s="317"/>
      <c r="E10" s="318"/>
      <c r="F10" s="68">
        <f>S.Quarter!B231</f>
        <v>380.02859999999998</v>
      </c>
      <c r="G10" s="96">
        <v>0</v>
      </c>
      <c r="H10" s="96">
        <v>0</v>
      </c>
      <c r="I10" s="96">
        <v>0</v>
      </c>
      <c r="J10" s="96">
        <v>0</v>
      </c>
      <c r="K10" s="68">
        <f>F10*530%</f>
        <v>2014.1515799999997</v>
      </c>
    </row>
    <row r="11" spans="1:17" ht="30" customHeight="1">
      <c r="A11" s="15">
        <v>7</v>
      </c>
      <c r="B11" s="315" t="s">
        <v>195</v>
      </c>
      <c r="C11" s="317"/>
      <c r="D11" s="317"/>
      <c r="E11" s="318"/>
      <c r="F11" s="68">
        <f>S.Quarter!B292</f>
        <v>3258.6221000000005</v>
      </c>
      <c r="G11" s="96">
        <v>0</v>
      </c>
      <c r="H11" s="96">
        <v>0</v>
      </c>
      <c r="I11" s="68">
        <f>F11*4%</f>
        <v>130.34488400000004</v>
      </c>
      <c r="J11" s="68">
        <f>F11*0.53%</f>
        <v>17.270697130000002</v>
      </c>
      <c r="K11" s="96">
        <v>0</v>
      </c>
    </row>
    <row r="12" spans="1:17" ht="30" customHeight="1">
      <c r="A12" s="15">
        <v>8</v>
      </c>
      <c r="B12" s="315" t="s">
        <v>196</v>
      </c>
      <c r="C12" s="317"/>
      <c r="D12" s="317"/>
      <c r="E12" s="318"/>
      <c r="F12" s="96">
        <f>S.Quarter!B295</f>
        <v>0</v>
      </c>
      <c r="G12" s="96">
        <v>0</v>
      </c>
      <c r="H12" s="96">
        <f>SUM(H7:H11)</f>
        <v>0</v>
      </c>
      <c r="I12" s="96">
        <f>F12*3%</f>
        <v>0</v>
      </c>
      <c r="J12" s="96">
        <f>F12*0.57%</f>
        <v>0</v>
      </c>
      <c r="K12" s="96">
        <v>0</v>
      </c>
    </row>
    <row r="13" spans="1:17" ht="30" customHeight="1">
      <c r="A13" s="15">
        <v>9</v>
      </c>
      <c r="B13" s="315" t="s">
        <v>367</v>
      </c>
      <c r="C13" s="317"/>
      <c r="D13" s="317"/>
      <c r="E13" s="318"/>
      <c r="F13" s="96">
        <f>S.Quarter!B298</f>
        <v>0</v>
      </c>
      <c r="G13" s="96">
        <v>0</v>
      </c>
      <c r="H13" s="96">
        <f>SUM(H8:H12)</f>
        <v>0</v>
      </c>
      <c r="I13" s="96">
        <f>F13*2%</f>
        <v>0</v>
      </c>
      <c r="J13" s="96">
        <f>F13*0.54%</f>
        <v>0</v>
      </c>
      <c r="K13" s="96">
        <v>0</v>
      </c>
      <c r="L13" s="316"/>
      <c r="M13" s="316"/>
      <c r="N13" s="316"/>
      <c r="O13" s="316"/>
      <c r="P13" s="316"/>
      <c r="Q13" s="316"/>
    </row>
    <row r="14" spans="1:17" ht="30" customHeight="1">
      <c r="A14" s="13"/>
      <c r="B14" s="309" t="s">
        <v>6</v>
      </c>
      <c r="C14" s="310"/>
      <c r="D14" s="310"/>
      <c r="E14" s="311"/>
      <c r="F14" s="67"/>
      <c r="G14" s="67">
        <f>SUM(G5:G13)</f>
        <v>656.31760200000008</v>
      </c>
      <c r="H14" s="67">
        <f>SUM(H5:H13)</f>
        <v>314.66846399999991</v>
      </c>
      <c r="I14" s="67">
        <f>SUM(I5:I13)</f>
        <v>860.61761197500005</v>
      </c>
      <c r="J14" s="67">
        <f>SUM(J5:J13)</f>
        <v>191.38053995000001</v>
      </c>
      <c r="K14" s="67">
        <f>SUM(K5:K13)</f>
        <v>14872.2289425</v>
      </c>
      <c r="L14" s="316"/>
      <c r="M14" s="316"/>
      <c r="N14" s="316"/>
      <c r="O14" s="316"/>
      <c r="P14" s="316"/>
      <c r="Q14" s="316"/>
    </row>
    <row r="19" s="8" customFormat="1" ht="15.75"/>
    <row r="20" s="8" customFormat="1" ht="15.75"/>
    <row r="21" s="8" customFormat="1" ht="15.75"/>
  </sheetData>
  <mergeCells count="14">
    <mergeCell ref="B14:E14"/>
    <mergeCell ref="L14:Q14"/>
    <mergeCell ref="B10:E10"/>
    <mergeCell ref="A1:K1"/>
    <mergeCell ref="B4:E4"/>
    <mergeCell ref="B5:E5"/>
    <mergeCell ref="B6:E6"/>
    <mergeCell ref="B7:E7"/>
    <mergeCell ref="B8:E8"/>
    <mergeCell ref="B9:E9"/>
    <mergeCell ref="B11:E11"/>
    <mergeCell ref="B12:E12"/>
    <mergeCell ref="B13:E13"/>
    <mergeCell ref="L13:Q13"/>
  </mergeCells>
  <pageMargins left="0.75" right="0.75" top="0.48" bottom="1" header="0.3" footer="0.5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D146"/>
  <sheetViews>
    <sheetView topLeftCell="A116" workbookViewId="0">
      <selection activeCell="AT136" sqref="AT136"/>
    </sheetView>
  </sheetViews>
  <sheetFormatPr defaultRowHeight="12.75"/>
  <cols>
    <col min="1" max="1" width="4.140625" customWidth="1"/>
    <col min="2" max="2" width="10.85546875" customWidth="1"/>
    <col min="3" max="3" width="4.42578125" customWidth="1"/>
    <col min="4" max="4" width="2.28515625" customWidth="1"/>
    <col min="5" max="5" width="5.85546875" customWidth="1"/>
    <col min="6" max="6" width="3.140625" customWidth="1"/>
    <col min="7" max="7" width="6.28515625" customWidth="1"/>
    <col min="8" max="8" width="3" customWidth="1"/>
    <col min="9" max="9" width="5.42578125" customWidth="1"/>
    <col min="10" max="10" width="4" customWidth="1"/>
    <col min="11" max="11" width="6.28515625" customWidth="1"/>
    <col min="12" max="12" width="10.5703125" customWidth="1"/>
    <col min="13" max="13" width="11" customWidth="1"/>
    <col min="14" max="14" width="4.28515625" customWidth="1"/>
    <col min="15" max="15" width="12" customWidth="1"/>
    <col min="16" max="17" width="0" hidden="1" customWidth="1"/>
    <col min="18" max="18" width="4.5703125" hidden="1" customWidth="1"/>
    <col min="19" max="19" width="3.28515625" hidden="1" customWidth="1"/>
    <col min="20" max="20" width="4.7109375" hidden="1" customWidth="1"/>
    <col min="21" max="21" width="2.5703125" hidden="1" customWidth="1"/>
    <col min="22" max="22" width="6.7109375" hidden="1" customWidth="1"/>
    <col min="23" max="23" width="3.7109375" hidden="1" customWidth="1"/>
    <col min="24" max="24" width="7.5703125" hidden="1" customWidth="1"/>
    <col min="25" max="43" width="0" hidden="1" customWidth="1"/>
  </cols>
  <sheetData>
    <row r="1" spans="1:26" ht="15.75" customHeight="1">
      <c r="A1" s="322" t="e">
        <f>#REF!</f>
        <v>#REF!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</row>
    <row r="2" spans="1:26" ht="2.25" customHeight="1">
      <c r="A2" s="322"/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</row>
    <row r="3" spans="1:26" ht="15.75">
      <c r="A3">
        <v>1</v>
      </c>
      <c r="B3" s="8" t="s">
        <v>121</v>
      </c>
    </row>
    <row r="4" spans="1:26" ht="15.75">
      <c r="B4" s="8" t="s">
        <v>122</v>
      </c>
    </row>
    <row r="5" spans="1:26" ht="15.75">
      <c r="B5" s="8" t="s">
        <v>123</v>
      </c>
    </row>
    <row r="6" spans="1:26">
      <c r="B6" s="131" t="s">
        <v>244</v>
      </c>
      <c r="C6">
        <v>2</v>
      </c>
      <c r="D6" t="s">
        <v>4</v>
      </c>
      <c r="E6">
        <v>100</v>
      </c>
      <c r="F6" t="s">
        <v>4</v>
      </c>
      <c r="G6" t="s">
        <v>26</v>
      </c>
      <c r="H6" t="s">
        <v>26</v>
      </c>
      <c r="I6" t="s">
        <v>26</v>
      </c>
      <c r="L6" t="s">
        <v>38</v>
      </c>
      <c r="M6" s="2">
        <f>C6*E6</f>
        <v>200</v>
      </c>
      <c r="N6" s="5" t="s">
        <v>12</v>
      </c>
      <c r="Q6" t="s">
        <v>26</v>
      </c>
      <c r="R6" t="s">
        <v>26</v>
      </c>
      <c r="S6" t="s">
        <v>26</v>
      </c>
      <c r="T6" t="s">
        <v>26</v>
      </c>
      <c r="U6" t="s">
        <v>26</v>
      </c>
      <c r="V6" t="s">
        <v>26</v>
      </c>
      <c r="W6" t="s">
        <v>26</v>
      </c>
      <c r="X6" t="s">
        <v>26</v>
      </c>
      <c r="Y6" t="s">
        <v>26</v>
      </c>
      <c r="Z6" t="s">
        <v>26</v>
      </c>
    </row>
    <row r="7" spans="1:26">
      <c r="B7" s="131" t="s">
        <v>125</v>
      </c>
      <c r="C7">
        <v>2</v>
      </c>
      <c r="D7" t="s">
        <v>4</v>
      </c>
      <c r="E7">
        <v>75</v>
      </c>
      <c r="F7" t="s">
        <v>4</v>
      </c>
      <c r="G7" t="s">
        <v>26</v>
      </c>
      <c r="H7" t="s">
        <v>26</v>
      </c>
      <c r="I7" t="s">
        <v>26</v>
      </c>
      <c r="L7" t="s">
        <v>38</v>
      </c>
      <c r="M7" s="2">
        <f>C7*E7</f>
        <v>150</v>
      </c>
      <c r="N7" s="5" t="s">
        <v>12</v>
      </c>
      <c r="T7" t="s">
        <v>26</v>
      </c>
      <c r="U7" t="s">
        <v>26</v>
      </c>
      <c r="V7" t="s">
        <v>26</v>
      </c>
      <c r="W7" t="s">
        <v>26</v>
      </c>
      <c r="X7" t="s">
        <v>26</v>
      </c>
      <c r="Y7" t="s">
        <v>26</v>
      </c>
      <c r="Z7" t="s">
        <v>26</v>
      </c>
    </row>
    <row r="8" spans="1:26">
      <c r="L8" t="s">
        <v>38</v>
      </c>
      <c r="M8" s="84">
        <f>M6+M7</f>
        <v>350</v>
      </c>
      <c r="N8" s="5" t="s">
        <v>12</v>
      </c>
    </row>
    <row r="9" spans="1:26" ht="14.25" customHeight="1">
      <c r="B9" s="7" t="s">
        <v>323</v>
      </c>
      <c r="M9" s="84"/>
      <c r="N9" s="5"/>
    </row>
    <row r="10" spans="1:26" ht="14.25" customHeight="1">
      <c r="B10" t="s">
        <v>324</v>
      </c>
      <c r="C10">
        <v>1</v>
      </c>
      <c r="D10" t="s">
        <v>4</v>
      </c>
      <c r="E10">
        <v>1</v>
      </c>
      <c r="F10" t="s">
        <v>4</v>
      </c>
      <c r="G10">
        <v>3</v>
      </c>
      <c r="H10" t="s">
        <v>55</v>
      </c>
      <c r="I10">
        <v>3</v>
      </c>
      <c r="L10" t="s">
        <v>38</v>
      </c>
      <c r="M10" s="46">
        <f>(I10+G10)*E10*C10</f>
        <v>6</v>
      </c>
      <c r="N10" s="5" t="s">
        <v>12</v>
      </c>
      <c r="R10">
        <f>G10+I10</f>
        <v>6</v>
      </c>
    </row>
    <row r="11" spans="1:26" ht="14.25" customHeight="1">
      <c r="B11" s="7" t="s">
        <v>325</v>
      </c>
      <c r="C11">
        <v>1</v>
      </c>
      <c r="D11" t="s">
        <v>4</v>
      </c>
      <c r="E11">
        <v>1</v>
      </c>
      <c r="F11" t="s">
        <v>4</v>
      </c>
      <c r="G11">
        <v>10</v>
      </c>
      <c r="L11" t="s">
        <v>38</v>
      </c>
      <c r="M11" s="46">
        <f>(I11+G11)*E11*C11</f>
        <v>10</v>
      </c>
      <c r="N11" s="5" t="s">
        <v>12</v>
      </c>
      <c r="R11">
        <f>G11+I11</f>
        <v>10</v>
      </c>
    </row>
    <row r="12" spans="1:26" ht="14.25" customHeight="1">
      <c r="B12" s="7"/>
      <c r="M12" s="84">
        <f>SUM(M10:M11)</f>
        <v>16</v>
      </c>
      <c r="N12" s="5" t="s">
        <v>12</v>
      </c>
    </row>
    <row r="13" spans="1:26" ht="14.25" customHeight="1">
      <c r="B13" s="2">
        <f>M8</f>
        <v>350</v>
      </c>
      <c r="E13" s="7" t="s">
        <v>126</v>
      </c>
      <c r="G13" s="307">
        <f>M12</f>
        <v>16</v>
      </c>
      <c r="H13" s="299"/>
      <c r="L13" t="s">
        <v>38</v>
      </c>
      <c r="M13" s="84">
        <f>B13-G13</f>
        <v>334</v>
      </c>
      <c r="N13" s="5" t="s">
        <v>12</v>
      </c>
    </row>
    <row r="14" spans="1:26">
      <c r="B14" s="325">
        <f>M13</f>
        <v>334</v>
      </c>
      <c r="C14" s="326"/>
      <c r="D14" s="69" t="s">
        <v>4</v>
      </c>
      <c r="E14" s="69">
        <v>1.5</v>
      </c>
      <c r="F14" s="7" t="s">
        <v>4</v>
      </c>
      <c r="G14" s="7">
        <v>2</v>
      </c>
      <c r="H14" s="7"/>
      <c r="I14" s="7"/>
      <c r="J14" s="7"/>
      <c r="L14" t="s">
        <v>38</v>
      </c>
      <c r="M14" s="62">
        <f>B14*E14*G14</f>
        <v>1002</v>
      </c>
      <c r="N14" s="47" t="s">
        <v>8</v>
      </c>
      <c r="O14" s="7" t="s">
        <v>26</v>
      </c>
      <c r="P14" s="7" t="s">
        <v>26</v>
      </c>
      <c r="Q14" s="50" t="s">
        <v>26</v>
      </c>
    </row>
    <row r="15" spans="1:26">
      <c r="B15" s="94"/>
      <c r="C15" s="69">
        <f>C10</f>
        <v>1</v>
      </c>
      <c r="D15" s="69" t="s">
        <v>4</v>
      </c>
      <c r="E15" s="69">
        <v>2</v>
      </c>
      <c r="F15" s="69" t="s">
        <v>264</v>
      </c>
      <c r="G15" s="69">
        <f>G10</f>
        <v>3</v>
      </c>
      <c r="H15" s="7" t="s">
        <v>4</v>
      </c>
      <c r="I15" s="7">
        <f>I10</f>
        <v>3</v>
      </c>
      <c r="J15" s="7" t="s">
        <v>4</v>
      </c>
      <c r="K15" s="45">
        <v>2</v>
      </c>
      <c r="L15" t="s">
        <v>38</v>
      </c>
      <c r="M15" s="62">
        <f>C15*G15*I15*K15*E15</f>
        <v>36</v>
      </c>
      <c r="N15" s="47" t="s">
        <v>8</v>
      </c>
      <c r="O15" s="7"/>
      <c r="P15" s="7"/>
      <c r="Q15" s="50"/>
    </row>
    <row r="16" spans="1:26">
      <c r="B16" s="94"/>
      <c r="C16" s="69"/>
      <c r="D16" s="69"/>
      <c r="E16" s="69"/>
      <c r="F16" s="7"/>
      <c r="G16" s="7"/>
      <c r="H16" s="7"/>
      <c r="I16" s="7"/>
      <c r="J16" s="7"/>
      <c r="L16" t="s">
        <v>38</v>
      </c>
      <c r="M16" s="62">
        <f>M14+M15</f>
        <v>1038</v>
      </c>
      <c r="N16" s="47" t="s">
        <v>8</v>
      </c>
      <c r="O16" s="7"/>
      <c r="P16" s="7"/>
      <c r="Q16" s="50"/>
    </row>
    <row r="17" spans="1:17" ht="15.75" customHeight="1">
      <c r="B17" s="84">
        <f>M16</f>
        <v>1038</v>
      </c>
      <c r="C17" s="2" t="str">
        <f>N16</f>
        <v>Cft</v>
      </c>
      <c r="K17" s="60" t="s">
        <v>32</v>
      </c>
      <c r="L17" s="47">
        <v>3176.25</v>
      </c>
      <c r="M17" s="7" t="s">
        <v>105</v>
      </c>
      <c r="N17" s="7" t="s">
        <v>31</v>
      </c>
      <c r="O17" s="48">
        <f>B17*L17/1000</f>
        <v>3296.9475000000002</v>
      </c>
    </row>
    <row r="18" spans="1:17" ht="15.75" customHeight="1">
      <c r="B18" s="84"/>
      <c r="K18" s="60"/>
      <c r="L18" s="47"/>
      <c r="M18" s="7"/>
      <c r="N18" s="7"/>
      <c r="O18" s="48"/>
    </row>
    <row r="19" spans="1:17" ht="15.75">
      <c r="A19">
        <v>2</v>
      </c>
      <c r="B19" s="8" t="s">
        <v>128</v>
      </c>
      <c r="L19" s="18"/>
      <c r="O19" s="5"/>
    </row>
    <row r="20" spans="1:17" ht="15.75">
      <c r="B20" s="8" t="s">
        <v>245</v>
      </c>
      <c r="L20" s="18"/>
      <c r="O20" s="5"/>
    </row>
    <row r="21" spans="1:17">
      <c r="B21" t="str">
        <f>B6</f>
        <v>L/Wall</v>
      </c>
      <c r="C21" s="158">
        <f>B14</f>
        <v>334</v>
      </c>
      <c r="D21" t="s">
        <v>4</v>
      </c>
      <c r="E21">
        <f>E14</f>
        <v>1.5</v>
      </c>
      <c r="F21" t="s">
        <v>4</v>
      </c>
      <c r="G21">
        <v>0.5</v>
      </c>
      <c r="H21" t="s">
        <v>26</v>
      </c>
      <c r="I21" t="s">
        <v>26</v>
      </c>
      <c r="M21" s="2">
        <f>C21*E21*G21</f>
        <v>250.5</v>
      </c>
      <c r="N21" s="5" t="s">
        <v>8</v>
      </c>
      <c r="Q21" s="5"/>
    </row>
    <row r="22" spans="1:17">
      <c r="B22" s="94"/>
      <c r="C22" s="69">
        <f>C15</f>
        <v>1</v>
      </c>
      <c r="D22" s="69" t="s">
        <v>4</v>
      </c>
      <c r="E22" s="69">
        <f>E15</f>
        <v>2</v>
      </c>
      <c r="F22" s="69" t="s">
        <v>4</v>
      </c>
      <c r="G22" s="69">
        <f>G15</f>
        <v>3</v>
      </c>
      <c r="H22" s="7" t="s">
        <v>4</v>
      </c>
      <c r="I22" s="7">
        <f>I15</f>
        <v>3</v>
      </c>
      <c r="J22" s="7" t="s">
        <v>4</v>
      </c>
      <c r="K22" s="45">
        <v>0.5</v>
      </c>
      <c r="L22" s="7"/>
      <c r="M22" s="77">
        <f>C22*G22*I22*K22*E22</f>
        <v>9</v>
      </c>
      <c r="N22" s="47" t="s">
        <v>8</v>
      </c>
      <c r="O22" s="7"/>
      <c r="P22" s="7"/>
      <c r="Q22" s="50"/>
    </row>
    <row r="23" spans="1:17">
      <c r="M23" s="84">
        <f>M21+M22</f>
        <v>259.5</v>
      </c>
      <c r="N23" s="5" t="s">
        <v>8</v>
      </c>
      <c r="Q23" s="5"/>
    </row>
    <row r="24" spans="1:17">
      <c r="B24" s="133">
        <f>M23</f>
        <v>259.5</v>
      </c>
      <c r="C24" s="94" t="str">
        <f>N23</f>
        <v>Cft</v>
      </c>
      <c r="D24" s="94"/>
      <c r="E24" s="94"/>
      <c r="K24" s="49" t="str">
        <f>K17</f>
        <v xml:space="preserve"> @Rs:</v>
      </c>
      <c r="L24" s="18">
        <v>9416.2800000000007</v>
      </c>
      <c r="M24" t="s">
        <v>14</v>
      </c>
      <c r="N24" t="s">
        <v>31</v>
      </c>
      <c r="O24" s="11">
        <f>B24*L24/100</f>
        <v>24435.246600000002</v>
      </c>
    </row>
    <row r="25" spans="1:17">
      <c r="L25" s="18"/>
      <c r="O25" s="5"/>
    </row>
    <row r="26" spans="1:17" ht="15.75">
      <c r="A26">
        <v>3</v>
      </c>
      <c r="B26" s="8" t="s">
        <v>130</v>
      </c>
      <c r="L26" s="18"/>
      <c r="O26" s="5"/>
    </row>
    <row r="27" spans="1:17" ht="15.75">
      <c r="B27" s="8" t="s">
        <v>131</v>
      </c>
      <c r="L27" s="18"/>
      <c r="O27" s="5"/>
    </row>
    <row r="28" spans="1:17" ht="15.75">
      <c r="B28" s="8" t="s">
        <v>247</v>
      </c>
      <c r="L28" s="18"/>
      <c r="O28" s="5"/>
    </row>
    <row r="29" spans="1:17">
      <c r="B29" t="str">
        <f>B21</f>
        <v>L/Wall</v>
      </c>
      <c r="C29">
        <f>C21</f>
        <v>334</v>
      </c>
      <c r="D29" t="s">
        <v>4</v>
      </c>
      <c r="E29">
        <v>1</v>
      </c>
      <c r="F29" t="s">
        <v>4</v>
      </c>
      <c r="G29">
        <v>4</v>
      </c>
      <c r="H29" t="s">
        <v>26</v>
      </c>
      <c r="I29" t="s">
        <v>26</v>
      </c>
      <c r="K29" t="s">
        <v>5</v>
      </c>
      <c r="M29" s="2">
        <f>C29*E29*G29</f>
        <v>1336</v>
      </c>
      <c r="N29" s="5" t="s">
        <v>8</v>
      </c>
      <c r="Q29" s="5"/>
    </row>
    <row r="30" spans="1:17">
      <c r="B30" s="133">
        <f>M29</f>
        <v>1336</v>
      </c>
      <c r="C30" s="94" t="str">
        <f>N29</f>
        <v>Cft</v>
      </c>
      <c r="D30" s="94"/>
      <c r="E30" s="94"/>
      <c r="K30" s="62" t="str">
        <f>K24</f>
        <v xml:space="preserve"> @Rs:</v>
      </c>
      <c r="L30" s="18">
        <v>12595</v>
      </c>
      <c r="M30" t="s">
        <v>14</v>
      </c>
      <c r="N30" t="s">
        <v>31</v>
      </c>
      <c r="O30" s="11">
        <f>B30*L30/100</f>
        <v>168269.2</v>
      </c>
    </row>
    <row r="31" spans="1:17">
      <c r="K31" s="10"/>
      <c r="L31" s="18"/>
      <c r="O31" s="5"/>
    </row>
    <row r="32" spans="1:17" ht="15.75">
      <c r="A32">
        <v>4</v>
      </c>
      <c r="B32" s="8" t="s">
        <v>133</v>
      </c>
      <c r="L32" s="18"/>
      <c r="O32" s="5"/>
    </row>
    <row r="33" spans="1:17" ht="15.75" customHeight="1">
      <c r="B33" s="8" t="s">
        <v>248</v>
      </c>
      <c r="L33" s="18"/>
      <c r="O33" s="5"/>
    </row>
    <row r="34" spans="1:17">
      <c r="B34" t="s">
        <v>135</v>
      </c>
      <c r="C34">
        <v>2</v>
      </c>
      <c r="D34" t="s">
        <v>4</v>
      </c>
      <c r="E34">
        <f>C29</f>
        <v>334</v>
      </c>
      <c r="F34" t="s">
        <v>4</v>
      </c>
      <c r="G34">
        <f>G29</f>
        <v>4</v>
      </c>
      <c r="H34" t="s">
        <v>4</v>
      </c>
      <c r="I34" t="s">
        <v>26</v>
      </c>
      <c r="K34" t="s">
        <v>5</v>
      </c>
      <c r="M34" s="2">
        <f>C34*E34*G34</f>
        <v>2672</v>
      </c>
      <c r="N34" s="5" t="s">
        <v>10</v>
      </c>
      <c r="Q34" s="5"/>
    </row>
    <row r="35" spans="1:17">
      <c r="B35" s="133">
        <f>M34</f>
        <v>2672</v>
      </c>
      <c r="C35" s="94" t="str">
        <f>N34</f>
        <v>Sft</v>
      </c>
      <c r="D35" s="94"/>
      <c r="E35" s="94"/>
      <c r="K35" s="49" t="str">
        <f>K24</f>
        <v xml:space="preserve"> @Rs:</v>
      </c>
      <c r="L35" s="18">
        <v>3127.41</v>
      </c>
      <c r="M35" t="s">
        <v>9</v>
      </c>
      <c r="N35" t="s">
        <v>7</v>
      </c>
      <c r="O35" s="11">
        <f>B35*L35/100</f>
        <v>83564.395199999999</v>
      </c>
    </row>
    <row r="36" spans="1:17">
      <c r="B36" s="134"/>
      <c r="C36" s="4"/>
      <c r="D36" s="4"/>
      <c r="E36" s="4"/>
      <c r="K36" s="49"/>
      <c r="L36" s="18"/>
      <c r="O36" s="11"/>
    </row>
    <row r="37" spans="1:17" s="8" customFormat="1" ht="15" customHeight="1">
      <c r="A37" s="8">
        <v>7</v>
      </c>
      <c r="B37" s="8" t="s">
        <v>15</v>
      </c>
      <c r="L37" s="92"/>
      <c r="O37" s="106"/>
    </row>
    <row r="38" spans="1:17" s="8" customFormat="1" ht="15" customHeight="1">
      <c r="B38" s="41" t="s">
        <v>144</v>
      </c>
      <c r="C38" s="41"/>
      <c r="D38" s="41"/>
      <c r="E38" s="41"/>
      <c r="F38" s="41"/>
      <c r="G38" s="41"/>
      <c r="H38" s="41"/>
      <c r="L38" s="92"/>
      <c r="O38" s="106"/>
    </row>
    <row r="39" spans="1:17" s="8" customFormat="1" ht="15" customHeight="1">
      <c r="B39" s="41" t="s">
        <v>145</v>
      </c>
      <c r="C39" s="41"/>
      <c r="D39" s="41"/>
      <c r="E39" s="41"/>
      <c r="F39" s="41"/>
      <c r="G39" s="41"/>
      <c r="H39" s="41"/>
      <c r="L39" s="92"/>
      <c r="O39" s="106"/>
    </row>
    <row r="40" spans="1:17" s="8" customFormat="1" ht="15" customHeight="1">
      <c r="B40" s="8" t="s">
        <v>146</v>
      </c>
      <c r="L40" s="92"/>
      <c r="O40" s="106"/>
    </row>
    <row r="41" spans="1:17" s="8" customFormat="1" ht="15" customHeight="1">
      <c r="B41" s="8" t="s">
        <v>147</v>
      </c>
      <c r="L41" s="92"/>
      <c r="O41" s="106"/>
    </row>
    <row r="42" spans="1:17" s="8" customFormat="1" ht="15" customHeight="1">
      <c r="B42" s="8" t="s">
        <v>148</v>
      </c>
      <c r="L42" s="92"/>
      <c r="O42" s="106"/>
    </row>
    <row r="43" spans="1:17" s="8" customFormat="1" ht="15" customHeight="1">
      <c r="B43" s="8" t="s">
        <v>149</v>
      </c>
      <c r="L43" s="92"/>
      <c r="O43" s="106"/>
    </row>
    <row r="44" spans="1:17" s="8" customFormat="1" ht="15" hidden="1" customHeight="1">
      <c r="B44" s="8" t="s">
        <v>301</v>
      </c>
      <c r="K44" s="66"/>
      <c r="L44" s="92"/>
      <c r="O44" s="106"/>
    </row>
    <row r="45" spans="1:17" s="8" customFormat="1" ht="15" hidden="1" customHeight="1">
      <c r="B45" s="8" t="s">
        <v>124</v>
      </c>
      <c r="C45" s="8">
        <v>0</v>
      </c>
      <c r="D45" s="8" t="s">
        <v>4</v>
      </c>
      <c r="E45" s="66" t="e">
        <f>#REF!</f>
        <v>#REF!</v>
      </c>
      <c r="F45" s="66" t="s">
        <v>4</v>
      </c>
      <c r="G45" s="66" t="e">
        <f>#REF!</f>
        <v>#REF!</v>
      </c>
      <c r="H45" s="66" t="s">
        <v>4</v>
      </c>
      <c r="I45" s="66">
        <v>1</v>
      </c>
      <c r="J45" s="8" t="s">
        <v>5</v>
      </c>
      <c r="K45" s="66" t="e">
        <f>C45*E45*G45*I45</f>
        <v>#REF!</v>
      </c>
      <c r="L45" s="92" t="s">
        <v>37</v>
      </c>
      <c r="O45" s="106"/>
    </row>
    <row r="46" spans="1:17" s="8" customFormat="1" ht="15" hidden="1" customHeight="1">
      <c r="B46" s="8" t="s">
        <v>125</v>
      </c>
      <c r="C46" s="8">
        <v>0</v>
      </c>
      <c r="D46" s="8" t="s">
        <v>4</v>
      </c>
      <c r="E46" s="66" t="e">
        <f>#REF!</f>
        <v>#REF!</v>
      </c>
      <c r="F46" s="66" t="s">
        <v>4</v>
      </c>
      <c r="G46" s="66" t="e">
        <f>G45</f>
        <v>#REF!</v>
      </c>
      <c r="H46" s="66" t="s">
        <v>4</v>
      </c>
      <c r="I46" s="66">
        <f>I45</f>
        <v>1</v>
      </c>
      <c r="J46" s="8" t="s">
        <v>5</v>
      </c>
      <c r="K46" s="66" t="e">
        <f>C46*E46*G46*I46</f>
        <v>#REF!</v>
      </c>
      <c r="L46" s="92" t="s">
        <v>37</v>
      </c>
      <c r="O46" s="106"/>
    </row>
    <row r="47" spans="1:17" s="8" customFormat="1" ht="15" customHeight="1">
      <c r="B47" s="8" t="s">
        <v>324</v>
      </c>
      <c r="C47" s="8">
        <v>2</v>
      </c>
      <c r="D47" s="8" t="s">
        <v>4</v>
      </c>
      <c r="E47" s="66">
        <v>2.5</v>
      </c>
      <c r="F47" s="66" t="s">
        <v>4</v>
      </c>
      <c r="G47" s="66">
        <f>E47</f>
        <v>2.5</v>
      </c>
      <c r="H47" s="66" t="s">
        <v>4</v>
      </c>
      <c r="I47" s="66">
        <v>1.5</v>
      </c>
      <c r="J47" s="66"/>
      <c r="K47" s="66"/>
      <c r="L47" s="8" t="s">
        <v>5</v>
      </c>
      <c r="M47" s="66">
        <f>C47*E47*G47*I47</f>
        <v>18.75</v>
      </c>
      <c r="N47" s="92" t="s">
        <v>8</v>
      </c>
      <c r="Q47" s="106"/>
    </row>
    <row r="48" spans="1:17" s="8" customFormat="1" ht="15" customHeight="1">
      <c r="B48" s="110"/>
      <c r="C48" s="8">
        <v>2</v>
      </c>
      <c r="D48" s="8" t="s">
        <v>4</v>
      </c>
      <c r="E48" s="66">
        <v>2</v>
      </c>
      <c r="F48" s="66" t="s">
        <v>4</v>
      </c>
      <c r="G48" s="66">
        <f>E48</f>
        <v>2</v>
      </c>
      <c r="H48" s="66" t="s">
        <v>4</v>
      </c>
      <c r="I48" s="66">
        <v>2.5</v>
      </c>
      <c r="J48" s="66"/>
      <c r="K48" s="66"/>
      <c r="L48" s="8" t="s">
        <v>5</v>
      </c>
      <c r="M48" s="66">
        <f>C48*E48*G48*I48</f>
        <v>20</v>
      </c>
      <c r="N48" s="92" t="s">
        <v>8</v>
      </c>
      <c r="O48" s="98"/>
      <c r="Q48" s="106"/>
    </row>
    <row r="49" spans="1:30" s="8" customFormat="1" ht="15" customHeight="1">
      <c r="B49" s="110"/>
      <c r="C49" s="8">
        <v>2</v>
      </c>
      <c r="D49" s="8" t="s">
        <v>4</v>
      </c>
      <c r="E49" s="66">
        <v>1.5</v>
      </c>
      <c r="F49" s="66" t="s">
        <v>4</v>
      </c>
      <c r="G49" s="66">
        <f>E49</f>
        <v>1.5</v>
      </c>
      <c r="H49" s="66" t="s">
        <v>4</v>
      </c>
      <c r="I49" s="66">
        <v>7</v>
      </c>
      <c r="J49" s="66"/>
      <c r="K49" s="66"/>
      <c r="L49" s="8" t="s">
        <v>5</v>
      </c>
      <c r="M49" s="99">
        <f>C49*E49*G49*I49</f>
        <v>31.5</v>
      </c>
      <c r="N49" s="92" t="s">
        <v>8</v>
      </c>
      <c r="O49" s="107"/>
      <c r="Q49" s="106"/>
    </row>
    <row r="50" spans="1:30" s="8" customFormat="1" ht="15" customHeight="1">
      <c r="M50" s="100">
        <f>SUM(M47:M49)</f>
        <v>70.25</v>
      </c>
      <c r="N50" s="92" t="s">
        <v>8</v>
      </c>
      <c r="O50" s="66"/>
      <c r="Q50" s="106"/>
    </row>
    <row r="51" spans="1:30" s="8" customFormat="1" ht="15" customHeight="1">
      <c r="B51" s="102">
        <f>M50</f>
        <v>70.25</v>
      </c>
      <c r="C51" s="103" t="s">
        <v>8</v>
      </c>
      <c r="D51" s="103"/>
      <c r="E51" s="103"/>
      <c r="K51" s="108" t="str">
        <f>K35</f>
        <v xml:space="preserve"> @Rs:</v>
      </c>
      <c r="L51" s="92">
        <v>337</v>
      </c>
      <c r="M51" s="8" t="s">
        <v>59</v>
      </c>
      <c r="N51" s="8" t="s">
        <v>31</v>
      </c>
      <c r="O51" s="106">
        <f>B51*L51</f>
        <v>23674.25</v>
      </c>
      <c r="AD51" s="8">
        <v>36059</v>
      </c>
    </row>
    <row r="52" spans="1:30" s="8" customFormat="1" ht="15" customHeight="1">
      <c r="F52" s="327"/>
      <c r="G52" s="306"/>
      <c r="K52" s="66"/>
      <c r="L52" s="92"/>
      <c r="O52" s="106"/>
    </row>
    <row r="53" spans="1:30" s="8" customFormat="1" ht="15" customHeight="1">
      <c r="A53" s="63">
        <v>8</v>
      </c>
      <c r="B53" s="8" t="s">
        <v>150</v>
      </c>
      <c r="L53" s="92"/>
      <c r="O53" s="106"/>
    </row>
    <row r="54" spans="1:30" s="8" customFormat="1" ht="15" customHeight="1">
      <c r="A54" s="63"/>
      <c r="B54" s="8" t="s">
        <v>151</v>
      </c>
      <c r="L54" s="92"/>
      <c r="O54" s="106"/>
    </row>
    <row r="55" spans="1:30" s="8" customFormat="1" ht="15" customHeight="1">
      <c r="A55" s="63"/>
      <c r="B55" s="8" t="s">
        <v>152</v>
      </c>
      <c r="L55" s="92"/>
      <c r="O55" s="106"/>
    </row>
    <row r="56" spans="1:30" s="8" customFormat="1" ht="15" customHeight="1">
      <c r="B56" s="114">
        <f>B51</f>
        <v>70.25</v>
      </c>
      <c r="C56" s="8" t="s">
        <v>4</v>
      </c>
      <c r="E56" s="8">
        <v>4.5</v>
      </c>
      <c r="F56" s="8" t="s">
        <v>40</v>
      </c>
      <c r="G56" s="8">
        <v>112</v>
      </c>
      <c r="J56" s="8" t="s">
        <v>5</v>
      </c>
      <c r="K56" s="66">
        <f>(B56*E56)/G56</f>
        <v>2.8225446428571428</v>
      </c>
      <c r="L56" s="92" t="s">
        <v>11</v>
      </c>
      <c r="O56" s="106"/>
    </row>
    <row r="57" spans="1:30" s="8" customFormat="1" ht="15" customHeight="1">
      <c r="B57" s="102">
        <f>K56</f>
        <v>2.8225446428571428</v>
      </c>
      <c r="C57" s="103" t="s">
        <v>11</v>
      </c>
      <c r="D57" s="103"/>
      <c r="E57" s="103"/>
      <c r="K57" s="108" t="str">
        <f>K51</f>
        <v xml:space="preserve"> @Rs:</v>
      </c>
      <c r="L57" s="92">
        <v>5001.7</v>
      </c>
      <c r="M57" s="8" t="s">
        <v>76</v>
      </c>
      <c r="N57" s="8" t="s">
        <v>31</v>
      </c>
      <c r="O57" s="106">
        <f>B57*L57</f>
        <v>14117.52154017857</v>
      </c>
      <c r="AD57" s="8">
        <v>21457</v>
      </c>
    </row>
    <row r="58" spans="1:30" s="8" customFormat="1" ht="15" customHeight="1">
      <c r="L58" s="92"/>
      <c r="O58" s="106"/>
    </row>
    <row r="59" spans="1:30" s="8" customFormat="1" ht="15" customHeight="1">
      <c r="L59" s="92"/>
      <c r="O59" s="106"/>
    </row>
    <row r="60" spans="1:30" s="8" customFormat="1" ht="15" customHeight="1">
      <c r="L60" s="92"/>
      <c r="O60" s="106"/>
    </row>
    <row r="61" spans="1:30" s="8" customFormat="1" ht="15" customHeight="1">
      <c r="L61" s="92"/>
      <c r="O61" s="106"/>
    </row>
    <row r="62" spans="1:30" s="8" customFormat="1" ht="15" customHeight="1">
      <c r="L62" s="92"/>
      <c r="O62" s="106"/>
    </row>
    <row r="63" spans="1:30" ht="15.75">
      <c r="A63">
        <v>6</v>
      </c>
      <c r="B63" s="8" t="s">
        <v>262</v>
      </c>
      <c r="L63" s="18"/>
      <c r="O63" s="5"/>
    </row>
    <row r="64" spans="1:30" ht="14.25" customHeight="1">
      <c r="B64" s="6" t="s">
        <v>263</v>
      </c>
      <c r="L64" s="18"/>
      <c r="O64" s="5"/>
    </row>
    <row r="65" spans="1:17">
      <c r="B65" t="s">
        <v>237</v>
      </c>
      <c r="C65" t="s">
        <v>26</v>
      </c>
      <c r="D65" t="s">
        <v>26</v>
      </c>
      <c r="E65" t="s">
        <v>26</v>
      </c>
      <c r="F65" t="s">
        <v>26</v>
      </c>
      <c r="G65" t="s">
        <v>26</v>
      </c>
      <c r="H65" t="s">
        <v>26</v>
      </c>
      <c r="I65" t="s">
        <v>26</v>
      </c>
      <c r="K65" t="s">
        <v>26</v>
      </c>
      <c r="M65" s="2">
        <f>M8</f>
        <v>350</v>
      </c>
      <c r="N65" s="5" t="s">
        <v>12</v>
      </c>
      <c r="Q65" s="5"/>
    </row>
    <row r="66" spans="1:17">
      <c r="B66" s="76" t="s">
        <v>41</v>
      </c>
      <c r="C66" t="s">
        <v>26</v>
      </c>
      <c r="D66" t="s">
        <v>26</v>
      </c>
      <c r="E66" t="s">
        <v>26</v>
      </c>
      <c r="F66" t="s">
        <v>26</v>
      </c>
      <c r="G66" t="s">
        <v>26</v>
      </c>
      <c r="H66" t="s">
        <v>26</v>
      </c>
      <c r="I66" t="s">
        <v>26</v>
      </c>
      <c r="K66" t="s">
        <v>26</v>
      </c>
      <c r="M66" s="2" t="s">
        <v>26</v>
      </c>
      <c r="N66" s="5"/>
      <c r="Q66" s="5"/>
    </row>
    <row r="67" spans="1:17">
      <c r="A67" t="s">
        <v>26</v>
      </c>
      <c r="B67" t="s">
        <v>249</v>
      </c>
      <c r="C67">
        <v>1</v>
      </c>
      <c r="D67" s="7" t="s">
        <v>4</v>
      </c>
      <c r="E67">
        <v>10</v>
      </c>
      <c r="F67" t="s">
        <v>26</v>
      </c>
      <c r="G67" t="s">
        <v>26</v>
      </c>
      <c r="H67" t="s">
        <v>26</v>
      </c>
      <c r="I67" t="s">
        <v>26</v>
      </c>
      <c r="K67" t="s">
        <v>26</v>
      </c>
      <c r="M67" s="2">
        <f>C67*E67</f>
        <v>10</v>
      </c>
      <c r="N67" s="5" t="s">
        <v>12</v>
      </c>
      <c r="Q67" s="5"/>
    </row>
    <row r="68" spans="1:17">
      <c r="B68" t="s">
        <v>246</v>
      </c>
      <c r="C68">
        <v>2</v>
      </c>
      <c r="D68" t="s">
        <v>4</v>
      </c>
      <c r="E68">
        <v>1.5</v>
      </c>
      <c r="F68" s="7" t="s">
        <v>215</v>
      </c>
      <c r="G68">
        <v>1.5</v>
      </c>
      <c r="H68" t="s">
        <v>26</v>
      </c>
      <c r="I68" t="s">
        <v>26</v>
      </c>
      <c r="K68" t="s">
        <v>5</v>
      </c>
      <c r="M68" s="132">
        <f>(E68+G68)*C68</f>
        <v>6</v>
      </c>
      <c r="N68" s="5" t="s">
        <v>12</v>
      </c>
      <c r="Q68" s="5"/>
    </row>
    <row r="69" spans="1:17">
      <c r="M69" s="46">
        <f>SUM(M67:M68)</f>
        <v>16</v>
      </c>
      <c r="N69" s="5" t="s">
        <v>12</v>
      </c>
      <c r="Q69" s="5"/>
    </row>
    <row r="70" spans="1:17" ht="14.25" customHeight="1">
      <c r="B70" s="2">
        <f>M65</f>
        <v>350</v>
      </c>
      <c r="E70" s="7" t="s">
        <v>126</v>
      </c>
      <c r="G70" s="307">
        <f>M69</f>
        <v>16</v>
      </c>
      <c r="H70" s="299"/>
      <c r="L70" t="s">
        <v>38</v>
      </c>
      <c r="M70" s="84">
        <f>B70-G70</f>
        <v>334</v>
      </c>
      <c r="N70" s="5" t="s">
        <v>12</v>
      </c>
    </row>
    <row r="71" spans="1:17">
      <c r="B71" t="s">
        <v>26</v>
      </c>
      <c r="C71" s="158">
        <f>M70</f>
        <v>334</v>
      </c>
      <c r="D71" t="s">
        <v>40</v>
      </c>
      <c r="E71">
        <v>6.75</v>
      </c>
      <c r="F71" t="s">
        <v>38</v>
      </c>
      <c r="G71">
        <f>C71/E71</f>
        <v>49.481481481481481</v>
      </c>
      <c r="H71" t="s">
        <v>26</v>
      </c>
      <c r="L71" s="7" t="s">
        <v>42</v>
      </c>
      <c r="M71" s="46">
        <v>50</v>
      </c>
      <c r="N71" s="5"/>
      <c r="Q71" s="5"/>
    </row>
    <row r="72" spans="1:17">
      <c r="B72" t="s">
        <v>242</v>
      </c>
      <c r="C72">
        <v>1</v>
      </c>
      <c r="D72" t="s">
        <v>4</v>
      </c>
      <c r="E72" s="2">
        <f>M71</f>
        <v>50</v>
      </c>
      <c r="F72" t="s">
        <v>4</v>
      </c>
      <c r="G72">
        <v>0.37</v>
      </c>
      <c r="H72" t="s">
        <v>4</v>
      </c>
      <c r="I72">
        <v>4</v>
      </c>
      <c r="K72" t="s">
        <v>5</v>
      </c>
      <c r="M72" s="46">
        <f>C72*E72*G72*I72</f>
        <v>74</v>
      </c>
      <c r="N72" s="5" t="s">
        <v>8</v>
      </c>
      <c r="Q72" s="5"/>
    </row>
    <row r="73" spans="1:17">
      <c r="B73" t="s">
        <v>250</v>
      </c>
      <c r="C73" s="158">
        <f>M71</f>
        <v>50</v>
      </c>
      <c r="D73" t="s">
        <v>4</v>
      </c>
      <c r="E73">
        <v>0.75</v>
      </c>
      <c r="F73" t="s">
        <v>4</v>
      </c>
      <c r="G73">
        <v>0.37</v>
      </c>
      <c r="H73" t="s">
        <v>4</v>
      </c>
      <c r="I73">
        <f>I72</f>
        <v>4</v>
      </c>
      <c r="K73" t="s">
        <v>5</v>
      </c>
      <c r="M73" s="43">
        <f>C73*E73*G73*I73</f>
        <v>55.5</v>
      </c>
      <c r="N73" s="5" t="s">
        <v>8</v>
      </c>
      <c r="Q73" s="5"/>
    </row>
    <row r="74" spans="1:17">
      <c r="M74" s="84">
        <f>SUM(M72:M73)</f>
        <v>129.5</v>
      </c>
      <c r="N74" s="5" t="s">
        <v>8</v>
      </c>
      <c r="Q74" s="5"/>
    </row>
    <row r="75" spans="1:17">
      <c r="B75" s="133">
        <f>M74</f>
        <v>129.5</v>
      </c>
      <c r="C75" s="94" t="str">
        <f>N74</f>
        <v>Cft</v>
      </c>
      <c r="D75" s="94"/>
      <c r="E75" s="94"/>
      <c r="K75" s="62" t="str">
        <f>K35</f>
        <v xml:space="preserve"> @Rs:</v>
      </c>
      <c r="L75" s="47">
        <v>12346.65</v>
      </c>
      <c r="M75" s="7" t="s">
        <v>14</v>
      </c>
      <c r="N75" s="7" t="s">
        <v>31</v>
      </c>
      <c r="O75" s="48">
        <f>B75*L75/100</f>
        <v>15988.911750000001</v>
      </c>
    </row>
    <row r="76" spans="1:17">
      <c r="B76" s="133"/>
      <c r="C76" s="94"/>
      <c r="D76" s="94"/>
      <c r="E76" s="94"/>
      <c r="K76" s="62"/>
      <c r="L76" s="47"/>
      <c r="M76" s="7"/>
      <c r="N76" s="7"/>
      <c r="O76" s="48"/>
    </row>
    <row r="77" spans="1:17">
      <c r="A77">
        <v>10</v>
      </c>
      <c r="B77" t="s">
        <v>260</v>
      </c>
      <c r="L77" s="18"/>
      <c r="O77" s="5"/>
    </row>
    <row r="78" spans="1:17">
      <c r="B78" t="s">
        <v>26</v>
      </c>
      <c r="C78">
        <v>1</v>
      </c>
      <c r="D78" t="s">
        <v>4</v>
      </c>
      <c r="E78">
        <f>C73</f>
        <v>50</v>
      </c>
      <c r="F78" t="s">
        <v>4</v>
      </c>
      <c r="G78">
        <v>6</v>
      </c>
      <c r="H78" t="s">
        <v>4</v>
      </c>
      <c r="I78">
        <f>I72</f>
        <v>4</v>
      </c>
      <c r="K78" t="s">
        <v>5</v>
      </c>
      <c r="M78" s="2">
        <f>C78*E78*G78*I78</f>
        <v>1200</v>
      </c>
      <c r="N78" s="5" t="s">
        <v>10</v>
      </c>
      <c r="Q78" s="5"/>
    </row>
    <row r="79" spans="1:17">
      <c r="B79" s="7" t="s">
        <v>250</v>
      </c>
      <c r="C79" s="7">
        <f>C73</f>
        <v>50</v>
      </c>
      <c r="D79" s="7" t="s">
        <v>4</v>
      </c>
      <c r="E79" s="7">
        <v>1.5</v>
      </c>
      <c r="F79" s="7" t="s">
        <v>4</v>
      </c>
      <c r="G79" s="7">
        <f>I72</f>
        <v>4</v>
      </c>
      <c r="H79" s="7" t="s">
        <v>26</v>
      </c>
      <c r="I79" s="7"/>
      <c r="J79" s="7"/>
      <c r="K79" s="7" t="s">
        <v>5</v>
      </c>
      <c r="L79" s="7"/>
      <c r="M79" s="46">
        <f>C79*E79*G79</f>
        <v>300</v>
      </c>
      <c r="N79" s="5" t="s">
        <v>10</v>
      </c>
      <c r="Q79" s="5"/>
    </row>
    <row r="80" spans="1:17">
      <c r="B80" s="7" t="s">
        <v>251</v>
      </c>
      <c r="C80" s="7">
        <v>1</v>
      </c>
      <c r="D80" s="7" t="s">
        <v>4</v>
      </c>
      <c r="E80" s="7">
        <f>E78</f>
        <v>50</v>
      </c>
      <c r="F80" s="7" t="s">
        <v>4</v>
      </c>
      <c r="G80" s="7">
        <f>G78</f>
        <v>6</v>
      </c>
      <c r="H80" s="7" t="s">
        <v>4</v>
      </c>
      <c r="I80" s="7">
        <f>G73</f>
        <v>0.37</v>
      </c>
      <c r="J80" s="7"/>
      <c r="K80" s="7" t="s">
        <v>5</v>
      </c>
      <c r="L80" s="7"/>
      <c r="M80" s="46">
        <f>C80*E80*G80*I80</f>
        <v>111</v>
      </c>
      <c r="N80" s="5" t="s">
        <v>10</v>
      </c>
      <c r="Q80" s="5"/>
    </row>
    <row r="81" spans="1:17">
      <c r="B81" t="s">
        <v>26</v>
      </c>
      <c r="C81" t="s">
        <v>26</v>
      </c>
      <c r="D81" t="s">
        <v>26</v>
      </c>
      <c r="E81" t="s">
        <v>26</v>
      </c>
      <c r="K81" t="s">
        <v>26</v>
      </c>
      <c r="M81" s="84">
        <f>SUM(M78:M80)</f>
        <v>1611</v>
      </c>
      <c r="N81" s="5" t="s">
        <v>10</v>
      </c>
      <c r="Q81" s="5"/>
    </row>
    <row r="82" spans="1:17">
      <c r="B82" s="133">
        <f>M81</f>
        <v>1611</v>
      </c>
      <c r="C82" s="94" t="str">
        <f>N81</f>
        <v>Sft</v>
      </c>
      <c r="D82" s="94"/>
      <c r="E82" s="94"/>
      <c r="K82" s="62" t="str">
        <f>K75</f>
        <v xml:space="preserve"> @Rs:</v>
      </c>
      <c r="L82" s="18">
        <v>2206.6</v>
      </c>
      <c r="M82" t="s">
        <v>9</v>
      </c>
      <c r="N82" t="s">
        <v>31</v>
      </c>
      <c r="O82" s="11">
        <f>B82*L82/100</f>
        <v>35548.325999999994</v>
      </c>
    </row>
    <row r="83" spans="1:17">
      <c r="B83" s="1"/>
      <c r="C83" s="1"/>
      <c r="D83" s="1"/>
      <c r="E83" s="1"/>
      <c r="K83" s="78"/>
      <c r="L83" s="18"/>
      <c r="O83" s="11"/>
    </row>
    <row r="84" spans="1:17">
      <c r="A84">
        <v>11</v>
      </c>
      <c r="B84" t="s">
        <v>261</v>
      </c>
      <c r="C84" s="1"/>
      <c r="D84" s="1"/>
      <c r="E84" s="1"/>
      <c r="K84" s="78"/>
      <c r="L84" s="18"/>
      <c r="O84" s="11"/>
    </row>
    <row r="85" spans="1:17">
      <c r="B85" s="133">
        <f>B82</f>
        <v>1611</v>
      </c>
      <c r="C85" s="94" t="str">
        <f>C82</f>
        <v>Sft</v>
      </c>
      <c r="D85" s="94"/>
      <c r="E85" s="94"/>
      <c r="K85" s="62" t="str">
        <f>K82</f>
        <v xml:space="preserve"> @Rs:</v>
      </c>
      <c r="L85" s="18">
        <v>2197.52</v>
      </c>
      <c r="M85" t="s">
        <v>9</v>
      </c>
      <c r="N85" t="s">
        <v>31</v>
      </c>
      <c r="O85" s="11">
        <f>B85*L85/100</f>
        <v>35402.047200000001</v>
      </c>
    </row>
    <row r="86" spans="1:17">
      <c r="C86" s="1"/>
      <c r="D86" s="1"/>
      <c r="E86" s="1"/>
      <c r="K86" s="78"/>
      <c r="L86" s="18"/>
      <c r="O86" s="11"/>
    </row>
    <row r="87" spans="1:17">
      <c r="A87">
        <v>12</v>
      </c>
      <c r="B87" t="s">
        <v>252</v>
      </c>
      <c r="L87" s="18"/>
      <c r="O87" s="5"/>
    </row>
    <row r="88" spans="1:17">
      <c r="B88" t="s">
        <v>158</v>
      </c>
      <c r="C88">
        <v>1</v>
      </c>
      <c r="D88" t="s">
        <v>4</v>
      </c>
      <c r="E88" s="158">
        <f>M70</f>
        <v>334</v>
      </c>
      <c r="F88" t="s">
        <v>4</v>
      </c>
      <c r="G88">
        <v>4</v>
      </c>
      <c r="J88" t="s">
        <v>5</v>
      </c>
      <c r="M88" s="2">
        <f>C88*E88*G88</f>
        <v>1336</v>
      </c>
      <c r="N88" s="18" t="s">
        <v>10</v>
      </c>
      <c r="Q88" s="5"/>
    </row>
    <row r="89" spans="1:17">
      <c r="B89" s="133">
        <f>M88</f>
        <v>1336</v>
      </c>
      <c r="C89" s="94" t="str">
        <f>N88</f>
        <v>Sft</v>
      </c>
      <c r="D89" s="94"/>
      <c r="E89" s="94"/>
      <c r="K89" s="62" t="str">
        <f>K85</f>
        <v xml:space="preserve"> @Rs:</v>
      </c>
      <c r="L89" s="47">
        <v>1213.58</v>
      </c>
      <c r="M89" s="7" t="s">
        <v>9</v>
      </c>
      <c r="N89" s="7" t="s">
        <v>31</v>
      </c>
      <c r="O89" s="11">
        <f>B89*L89/100</f>
        <v>16213.4288</v>
      </c>
    </row>
    <row r="90" spans="1:17">
      <c r="L90" s="5"/>
      <c r="O90" s="5"/>
    </row>
    <row r="91" spans="1:17" ht="15" customHeight="1">
      <c r="A91" s="70">
        <v>13</v>
      </c>
      <c r="B91" s="70" t="s">
        <v>256</v>
      </c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O91" s="5"/>
    </row>
    <row r="92" spans="1:17" ht="15" customHeight="1">
      <c r="A92" s="70"/>
      <c r="B92" s="70" t="s">
        <v>257</v>
      </c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O92" s="5"/>
    </row>
    <row r="93" spans="1:17">
      <c r="B93" t="s">
        <v>140</v>
      </c>
      <c r="C93">
        <v>1</v>
      </c>
      <c r="D93" t="s">
        <v>4</v>
      </c>
      <c r="E93">
        <v>6</v>
      </c>
      <c r="F93" t="s">
        <v>4</v>
      </c>
      <c r="G93">
        <v>10</v>
      </c>
      <c r="K93" t="s">
        <v>5</v>
      </c>
      <c r="M93" s="2">
        <f>C93*E93*G93</f>
        <v>60</v>
      </c>
      <c r="N93" s="5" t="s">
        <v>10</v>
      </c>
      <c r="Q93" s="5"/>
    </row>
    <row r="94" spans="1:17">
      <c r="B94" s="94">
        <f>M93</f>
        <v>60</v>
      </c>
      <c r="C94" s="94" t="str">
        <f>N93</f>
        <v>Sft</v>
      </c>
      <c r="D94" s="94"/>
      <c r="E94" s="94"/>
      <c r="K94" s="49" t="str">
        <f>K89</f>
        <v xml:space="preserve"> @Rs:</v>
      </c>
      <c r="L94" s="18">
        <v>726.72</v>
      </c>
      <c r="M94" t="s">
        <v>162</v>
      </c>
      <c r="N94" t="s">
        <v>31</v>
      </c>
      <c r="O94" s="11">
        <f>B94*L94</f>
        <v>43603.200000000004</v>
      </c>
    </row>
    <row r="95" spans="1:17">
      <c r="L95" s="18"/>
      <c r="O95" s="5"/>
    </row>
    <row r="96" spans="1:17">
      <c r="A96">
        <v>16</v>
      </c>
      <c r="B96" s="76" t="s">
        <v>178</v>
      </c>
      <c r="L96" s="18"/>
      <c r="O96" s="5"/>
    </row>
    <row r="97" spans="1:17" ht="12.75" customHeight="1">
      <c r="B97" s="70" t="s">
        <v>258</v>
      </c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70"/>
      <c r="O97" s="5"/>
    </row>
    <row r="98" spans="1:17" ht="12.75" customHeight="1">
      <c r="B98" s="70" t="s">
        <v>259</v>
      </c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O98" s="5"/>
    </row>
    <row r="99" spans="1:17">
      <c r="C99">
        <v>2</v>
      </c>
      <c r="D99" t="s">
        <v>4</v>
      </c>
      <c r="E99">
        <f>B94</f>
        <v>60</v>
      </c>
      <c r="K99" t="s">
        <v>38</v>
      </c>
      <c r="M99" s="2">
        <f>C99*E99</f>
        <v>120</v>
      </c>
      <c r="N99" s="5" t="s">
        <v>10</v>
      </c>
      <c r="Q99" s="5"/>
    </row>
    <row r="100" spans="1:17">
      <c r="B100" s="94">
        <f>M99</f>
        <v>120</v>
      </c>
      <c r="C100" s="94" t="str">
        <f>N99</f>
        <v>Sft</v>
      </c>
      <c r="D100" s="94"/>
      <c r="E100" s="94"/>
      <c r="K100" s="49" t="str">
        <f>K94</f>
        <v xml:space="preserve"> @Rs:</v>
      </c>
      <c r="L100" s="18">
        <v>2116.41</v>
      </c>
      <c r="M100" t="s">
        <v>9</v>
      </c>
      <c r="N100" t="s">
        <v>31</v>
      </c>
      <c r="O100" s="11">
        <f>B100*L100/100</f>
        <v>2539.692</v>
      </c>
    </row>
    <row r="101" spans="1:17">
      <c r="B101" s="1"/>
      <c r="C101" s="1"/>
      <c r="D101" s="1"/>
      <c r="E101" s="1"/>
      <c r="K101" s="2"/>
      <c r="L101" s="18"/>
      <c r="O101" s="11"/>
    </row>
    <row r="102" spans="1:17" ht="15.75">
      <c r="A102">
        <v>17</v>
      </c>
      <c r="B102" s="8" t="s">
        <v>253</v>
      </c>
      <c r="L102" s="18"/>
      <c r="O102" s="5"/>
    </row>
    <row r="103" spans="1:17">
      <c r="B103" t="s">
        <v>182</v>
      </c>
      <c r="E103">
        <f>A84</f>
        <v>11</v>
      </c>
      <c r="M103" s="46">
        <f>B85</f>
        <v>1611</v>
      </c>
      <c r="N103" s="5" t="s">
        <v>10</v>
      </c>
      <c r="Q103" s="5"/>
    </row>
    <row r="104" spans="1:17">
      <c r="B104" s="7" t="s">
        <v>326</v>
      </c>
      <c r="E104">
        <v>2</v>
      </c>
      <c r="F104" s="7" t="s">
        <v>4</v>
      </c>
      <c r="G104">
        <v>4</v>
      </c>
      <c r="H104" s="7" t="s">
        <v>4</v>
      </c>
      <c r="I104">
        <v>1.5</v>
      </c>
      <c r="J104" s="7" t="s">
        <v>4</v>
      </c>
      <c r="K104">
        <v>7</v>
      </c>
      <c r="L104" s="7" t="s">
        <v>38</v>
      </c>
      <c r="M104" s="46">
        <f>E104*G104*I104*K104</f>
        <v>84</v>
      </c>
      <c r="N104" s="5" t="s">
        <v>10</v>
      </c>
      <c r="Q104" s="5"/>
    </row>
    <row r="105" spans="1:17">
      <c r="B105" s="7" t="s">
        <v>327</v>
      </c>
      <c r="E105">
        <v>2</v>
      </c>
      <c r="F105" s="7" t="s">
        <v>4</v>
      </c>
      <c r="G105" s="158">
        <f>M70</f>
        <v>334</v>
      </c>
      <c r="H105" s="7" t="s">
        <v>4</v>
      </c>
      <c r="I105">
        <v>2.5</v>
      </c>
      <c r="J105" s="7"/>
      <c r="L105" s="7" t="s">
        <v>38</v>
      </c>
      <c r="M105" s="46">
        <f>E105*G105*I105</f>
        <v>1670</v>
      </c>
      <c r="N105" s="5" t="s">
        <v>10</v>
      </c>
      <c r="Q105" s="5"/>
    </row>
    <row r="106" spans="1:17">
      <c r="M106" s="46">
        <f>SUM(M103:M105)</f>
        <v>3365</v>
      </c>
      <c r="N106" s="5" t="s">
        <v>10</v>
      </c>
      <c r="Q106" s="5"/>
    </row>
    <row r="107" spans="1:17">
      <c r="B107" s="133">
        <f>M106</f>
        <v>3365</v>
      </c>
      <c r="C107" s="94" t="str">
        <f>N103</f>
        <v>Sft</v>
      </c>
      <c r="D107" s="94"/>
      <c r="E107" s="94"/>
      <c r="K107" s="49" t="str">
        <f>K100</f>
        <v xml:space="preserve"> @Rs:</v>
      </c>
      <c r="L107" s="18">
        <v>829.95</v>
      </c>
      <c r="M107" t="s">
        <v>9</v>
      </c>
      <c r="N107" t="s">
        <v>31</v>
      </c>
      <c r="O107" s="11">
        <f>B107*L107/100</f>
        <v>27927.817500000001</v>
      </c>
    </row>
    <row r="108" spans="1:17">
      <c r="L108" s="18"/>
      <c r="O108" s="5"/>
    </row>
    <row r="109" spans="1:17" ht="15.75">
      <c r="A109">
        <v>18</v>
      </c>
      <c r="B109" s="8" t="s">
        <v>254</v>
      </c>
      <c r="L109" s="18"/>
      <c r="O109" s="5"/>
    </row>
    <row r="110" spans="1:17">
      <c r="B110" t="s">
        <v>185</v>
      </c>
      <c r="E110">
        <f>E103</f>
        <v>11</v>
      </c>
      <c r="M110" s="2">
        <f>M103</f>
        <v>1611</v>
      </c>
      <c r="N110" s="5" t="s">
        <v>10</v>
      </c>
      <c r="Q110" s="5"/>
    </row>
    <row r="111" spans="1:17">
      <c r="B111" t="s">
        <v>185</v>
      </c>
      <c r="E111">
        <f>A87</f>
        <v>12</v>
      </c>
      <c r="M111" s="132">
        <f>B89</f>
        <v>1336</v>
      </c>
      <c r="N111" s="5" t="s">
        <v>10</v>
      </c>
      <c r="Q111" s="5"/>
    </row>
    <row r="112" spans="1:17">
      <c r="M112" s="2">
        <f>M110+M111</f>
        <v>2947</v>
      </c>
      <c r="N112" s="5" t="s">
        <v>10</v>
      </c>
      <c r="Q112" s="5"/>
    </row>
    <row r="113" spans="1:30">
      <c r="B113" s="133">
        <f>M112</f>
        <v>2947</v>
      </c>
      <c r="C113" s="94" t="str">
        <f>N112</f>
        <v>Sft</v>
      </c>
      <c r="D113" s="94"/>
      <c r="E113" s="94"/>
      <c r="K113" s="49" t="str">
        <f>K107</f>
        <v xml:space="preserve"> @Rs:</v>
      </c>
      <c r="L113" s="18">
        <v>859.9</v>
      </c>
      <c r="M113" t="s">
        <v>9</v>
      </c>
      <c r="N113" t="s">
        <v>31</v>
      </c>
      <c r="O113" s="135">
        <f>B113*L113/100</f>
        <v>25341.252999999997</v>
      </c>
    </row>
    <row r="114" spans="1:30">
      <c r="L114" s="18"/>
      <c r="M114" s="3" t="s">
        <v>6</v>
      </c>
      <c r="N114" s="3" t="s">
        <v>31</v>
      </c>
      <c r="O114" s="9">
        <f>SUM(O14:O113)</f>
        <v>519922.23709017865</v>
      </c>
    </row>
    <row r="115" spans="1:30">
      <c r="A115" t="s">
        <v>26</v>
      </c>
      <c r="L115" s="18"/>
    </row>
    <row r="116" spans="1:30" s="8" customFormat="1" ht="15" customHeight="1">
      <c r="A116" s="8">
        <v>15</v>
      </c>
      <c r="B116" s="17" t="s">
        <v>23</v>
      </c>
      <c r="L116" s="105"/>
    </row>
    <row r="117" spans="1:30" s="8" customFormat="1" ht="15" customHeight="1">
      <c r="B117" s="8" t="e">
        <f>#REF!</f>
        <v>#REF!</v>
      </c>
      <c r="L117" s="105"/>
    </row>
    <row r="118" spans="1:30">
      <c r="B118" s="2">
        <f>M.State!I12</f>
        <v>942.80150000000015</v>
      </c>
      <c r="C118" t="s">
        <v>8</v>
      </c>
      <c r="K118" s="49" t="s">
        <v>32</v>
      </c>
      <c r="L118" s="18" t="e">
        <f>#REF!</f>
        <v>#REF!</v>
      </c>
      <c r="M118" t="s">
        <v>14</v>
      </c>
      <c r="N118" t="s">
        <v>31</v>
      </c>
      <c r="O118" s="118" t="e">
        <f>B118*L118/100</f>
        <v>#REF!</v>
      </c>
      <c r="AD118">
        <v>5148</v>
      </c>
    </row>
    <row r="119" spans="1:30" s="8" customFormat="1" ht="15" customHeight="1">
      <c r="L119" s="105"/>
    </row>
    <row r="120" spans="1:30" s="8" customFormat="1" ht="15" customHeight="1">
      <c r="B120" s="8" t="e">
        <f>#REF!</f>
        <v>#REF!</v>
      </c>
      <c r="L120" s="105"/>
    </row>
    <row r="121" spans="1:30">
      <c r="B121" s="2">
        <f>M.State!G12</f>
        <v>1290.94</v>
      </c>
      <c r="C121" t="s">
        <v>8</v>
      </c>
      <c r="K121" s="49" t="s">
        <v>32</v>
      </c>
      <c r="L121" s="18" t="e">
        <f>#REF!</f>
        <v>#REF!</v>
      </c>
      <c r="M121" t="s">
        <v>14</v>
      </c>
      <c r="N121" t="s">
        <v>31</v>
      </c>
      <c r="O121" s="118" t="e">
        <f>B121*L121/100</f>
        <v>#REF!</v>
      </c>
      <c r="AD121">
        <v>5148</v>
      </c>
    </row>
    <row r="122" spans="1:30" s="8" customFormat="1" ht="15" customHeight="1">
      <c r="L122" s="105"/>
    </row>
    <row r="123" spans="1:30" s="8" customFormat="1" ht="15" customHeight="1">
      <c r="L123" s="105"/>
    </row>
    <row r="124" spans="1:30" s="8" customFormat="1" ht="15" customHeight="1">
      <c r="B124" s="8" t="e">
        <f>#REF!</f>
        <v>#REF!</v>
      </c>
      <c r="L124" s="66"/>
    </row>
    <row r="125" spans="1:30">
      <c r="B125" s="2">
        <f>M.State!H12</f>
        <v>249.12</v>
      </c>
      <c r="C125" t="s">
        <v>8</v>
      </c>
      <c r="K125" s="49" t="s">
        <v>32</v>
      </c>
      <c r="L125" s="18" t="e">
        <f>#REF!</f>
        <v>#REF!</v>
      </c>
      <c r="M125" t="s">
        <v>14</v>
      </c>
      <c r="N125" t="s">
        <v>31</v>
      </c>
      <c r="O125" s="118" t="e">
        <f>B125*L125/100</f>
        <v>#REF!</v>
      </c>
      <c r="AD125">
        <v>5148</v>
      </c>
    </row>
    <row r="126" spans="1:30" s="8" customFormat="1" ht="15" customHeight="1">
      <c r="L126" s="66"/>
    </row>
    <row r="127" spans="1:30" s="8" customFormat="1" ht="15" customHeight="1">
      <c r="B127" s="8" t="e">
        <f>#REF!</f>
        <v>#REF!</v>
      </c>
      <c r="L127" s="66"/>
    </row>
    <row r="128" spans="1:30">
      <c r="B128" s="2">
        <f>M.State!K12</f>
        <v>1748.25</v>
      </c>
      <c r="C128" t="s">
        <v>46</v>
      </c>
      <c r="K128" s="49" t="s">
        <v>32</v>
      </c>
      <c r="L128" s="18" t="e">
        <f>#REF!</f>
        <v>#REF!</v>
      </c>
      <c r="M128" t="s">
        <v>198</v>
      </c>
      <c r="N128" t="s">
        <v>31</v>
      </c>
      <c r="O128" s="118" t="e">
        <f>B128*L128/1000</f>
        <v>#REF!</v>
      </c>
      <c r="AD128">
        <v>5148</v>
      </c>
    </row>
    <row r="129" spans="2:30" s="8" customFormat="1" ht="15" customHeight="1">
      <c r="L129" s="66"/>
    </row>
    <row r="130" spans="2:30" s="8" customFormat="1" ht="15.75">
      <c r="B130" s="8" t="e">
        <f>#REF!</f>
        <v>#REF!</v>
      </c>
      <c r="L130" s="66"/>
    </row>
    <row r="131" spans="2:30">
      <c r="B131" s="2">
        <f>M.State!J12</f>
        <v>247.91790000000003</v>
      </c>
      <c r="C131" t="s">
        <v>191</v>
      </c>
      <c r="K131" s="49" t="s">
        <v>32</v>
      </c>
      <c r="L131" s="18" t="e">
        <f>#REF!</f>
        <v>#REF!</v>
      </c>
      <c r="M131" t="s">
        <v>47</v>
      </c>
      <c r="N131" t="s">
        <v>31</v>
      </c>
      <c r="O131" s="118" t="e">
        <f>B131*L131</f>
        <v>#REF!</v>
      </c>
      <c r="AD131">
        <v>5148</v>
      </c>
    </row>
    <row r="132" spans="2:30" s="8" customFormat="1" ht="15.75" hidden="1">
      <c r="L132" s="66"/>
    </row>
    <row r="133" spans="2:30" s="8" customFormat="1" ht="15.75" hidden="1">
      <c r="B133" s="66" t="s">
        <v>44</v>
      </c>
      <c r="L133" s="66"/>
    </row>
    <row r="134" spans="2:30" ht="15" hidden="1">
      <c r="C134" t="s">
        <v>8</v>
      </c>
      <c r="K134" s="49" t="s">
        <v>32</v>
      </c>
      <c r="L134" s="44">
        <v>579.41</v>
      </c>
      <c r="M134" t="s">
        <v>14</v>
      </c>
      <c r="N134" t="s">
        <v>31</v>
      </c>
      <c r="O134" s="118">
        <f>B134*L134/100</f>
        <v>0</v>
      </c>
      <c r="AD134">
        <v>5148</v>
      </c>
    </row>
    <row r="135" spans="2:30" s="8" customFormat="1" ht="15.75">
      <c r="L135" s="66"/>
      <c r="N135" t="s">
        <v>31</v>
      </c>
      <c r="O135" s="106" t="e">
        <f>SUM(O118:O134)</f>
        <v>#REF!</v>
      </c>
    </row>
    <row r="136" spans="2:30" s="8" customFormat="1" ht="15.75">
      <c r="L136" s="66"/>
    </row>
    <row r="137" spans="2:30" s="7" customFormat="1" ht="15">
      <c r="L137" s="46" t="s">
        <v>48</v>
      </c>
      <c r="N137" s="22" t="s">
        <v>7</v>
      </c>
      <c r="O137" s="48">
        <f>O114</f>
        <v>519922.23709017865</v>
      </c>
    </row>
    <row r="138" spans="2:30" s="7" customFormat="1" hidden="1">
      <c r="L138" s="46"/>
      <c r="O138" s="45"/>
    </row>
    <row r="139" spans="2:30" s="7" customFormat="1" ht="15" hidden="1">
      <c r="L139" s="46" t="s">
        <v>49</v>
      </c>
      <c r="N139" s="22" t="s">
        <v>7</v>
      </c>
      <c r="O139" s="48">
        <v>0</v>
      </c>
    </row>
    <row r="140" spans="2:30" s="7" customFormat="1">
      <c r="L140" s="46"/>
      <c r="N140" s="21" t="s">
        <v>7</v>
      </c>
      <c r="O140" s="9" t="e">
        <f>SUM(O135:O139)</f>
        <v>#REF!</v>
      </c>
    </row>
    <row r="141" spans="2:30" s="7" customFormat="1" hidden="1">
      <c r="L141" s="46"/>
      <c r="O141" s="45"/>
    </row>
    <row r="142" spans="2:30" s="7" customFormat="1" ht="15" hidden="1">
      <c r="J142" s="60" t="s">
        <v>45</v>
      </c>
      <c r="K142" s="73">
        <v>0</v>
      </c>
      <c r="L142" s="46" t="s">
        <v>50</v>
      </c>
      <c r="N142" s="22" t="s">
        <v>7</v>
      </c>
      <c r="O142" s="48" t="e">
        <f>O140*K142</f>
        <v>#REF!</v>
      </c>
    </row>
    <row r="143" spans="2:30" s="7" customFormat="1" hidden="1">
      <c r="L143" s="46"/>
      <c r="M143" s="3" t="s">
        <v>51</v>
      </c>
      <c r="N143" s="21" t="s">
        <v>7</v>
      </c>
      <c r="O143" s="9" t="e">
        <f>O140-O142</f>
        <v>#REF!</v>
      </c>
    </row>
    <row r="144" spans="2:30" s="8" customFormat="1" ht="15.75" hidden="1">
      <c r="L144" s="66"/>
    </row>
    <row r="145" spans="6:15" s="7" customFormat="1" ht="15" hidden="1">
      <c r="F145" s="7" t="s">
        <v>243</v>
      </c>
      <c r="G145" s="7">
        <v>1</v>
      </c>
      <c r="H145" s="7" t="s">
        <v>4</v>
      </c>
      <c r="I145" s="323" t="e">
        <f>O143</f>
        <v>#REF!</v>
      </c>
      <c r="J145" s="324"/>
      <c r="K145" s="73"/>
      <c r="L145" s="46"/>
      <c r="M145" s="7" t="s">
        <v>38</v>
      </c>
      <c r="N145" s="22" t="s">
        <v>31</v>
      </c>
      <c r="O145" s="48" t="e">
        <f>G145*I145</f>
        <v>#REF!</v>
      </c>
    </row>
    <row r="146" spans="6:15" s="8" customFormat="1" ht="15.75">
      <c r="L146" s="66"/>
    </row>
  </sheetData>
  <mergeCells count="6">
    <mergeCell ref="A1:O2"/>
    <mergeCell ref="I145:J145"/>
    <mergeCell ref="G13:H13"/>
    <mergeCell ref="B14:C14"/>
    <mergeCell ref="F52:G52"/>
    <mergeCell ref="G70:H70"/>
  </mergeCells>
  <pageMargins left="0.51" right="0.17" top="0.28000000000000003" bottom="0.27" header="0.2" footer="0.23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Q12"/>
  <sheetViews>
    <sheetView workbookViewId="0">
      <selection activeCell="K12" sqref="K12"/>
    </sheetView>
  </sheetViews>
  <sheetFormatPr defaultRowHeight="12.75"/>
  <cols>
    <col min="1" max="1" width="6" customWidth="1"/>
    <col min="2" max="2" width="20.140625" customWidth="1"/>
    <col min="3" max="3" width="5.85546875" customWidth="1"/>
    <col min="4" max="4" width="2.28515625" customWidth="1"/>
    <col min="5" max="5" width="6.42578125" customWidth="1"/>
    <col min="6" max="6" width="13.42578125" customWidth="1"/>
    <col min="7" max="7" width="13.140625" customWidth="1"/>
    <col min="8" max="8" width="13.7109375" customWidth="1"/>
    <col min="9" max="9" width="15.140625" customWidth="1"/>
    <col min="10" max="10" width="13.7109375" customWidth="1"/>
    <col min="11" max="11" width="15.140625" customWidth="1"/>
  </cols>
  <sheetData>
    <row r="1" spans="1:17" ht="15.75">
      <c r="A1" s="308" t="s">
        <v>24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17">
      <c r="A2" s="76" t="s">
        <v>255</v>
      </c>
    </row>
    <row r="3" spans="1:17">
      <c r="A3" s="76"/>
    </row>
    <row r="4" spans="1:17" ht="30" customHeight="1">
      <c r="A4" s="14" t="s">
        <v>16</v>
      </c>
      <c r="B4" s="309" t="s">
        <v>0</v>
      </c>
      <c r="C4" s="310"/>
      <c r="D4" s="310"/>
      <c r="E4" s="311"/>
      <c r="F4" s="14" t="s">
        <v>17</v>
      </c>
      <c r="G4" s="14" t="s">
        <v>18</v>
      </c>
      <c r="H4" s="14" t="s">
        <v>19</v>
      </c>
      <c r="I4" s="14" t="s">
        <v>20</v>
      </c>
      <c r="J4" s="14" t="s">
        <v>21</v>
      </c>
      <c r="K4" s="14" t="s">
        <v>22</v>
      </c>
    </row>
    <row r="5" spans="1:17" ht="30" customHeight="1">
      <c r="A5" s="15">
        <v>1</v>
      </c>
      <c r="B5" s="312" t="s">
        <v>116</v>
      </c>
      <c r="C5" s="313"/>
      <c r="D5" s="313"/>
      <c r="E5" s="314"/>
      <c r="F5" s="16">
        <f>C.Wall!B24</f>
        <v>259.5</v>
      </c>
      <c r="G5" s="95">
        <v>0</v>
      </c>
      <c r="H5" s="15">
        <f>F5*96%</f>
        <v>249.12</v>
      </c>
      <c r="I5" s="95">
        <f>F5*48%</f>
        <v>124.56</v>
      </c>
      <c r="J5" s="95">
        <f>F5*9.6%</f>
        <v>24.911999999999999</v>
      </c>
      <c r="K5" s="95">
        <v>0</v>
      </c>
    </row>
    <row r="6" spans="1:17" ht="30" customHeight="1">
      <c r="A6" s="15">
        <v>2</v>
      </c>
      <c r="B6" s="312" t="s">
        <v>117</v>
      </c>
      <c r="C6" s="313"/>
      <c r="D6" s="313"/>
      <c r="E6" s="314"/>
      <c r="F6" s="16">
        <f>C.Wall!B30</f>
        <v>1336</v>
      </c>
      <c r="G6" s="95">
        <f>F6*92%</f>
        <v>1229.1200000000001</v>
      </c>
      <c r="H6" s="95">
        <v>0</v>
      </c>
      <c r="I6" s="95">
        <f>F6*46%</f>
        <v>614.56000000000006</v>
      </c>
      <c r="J6" s="95">
        <f>F6*13%</f>
        <v>173.68</v>
      </c>
      <c r="K6" s="95">
        <v>0</v>
      </c>
    </row>
    <row r="7" spans="1:17" ht="30" customHeight="1">
      <c r="A7" s="15">
        <v>3</v>
      </c>
      <c r="B7" s="312" t="s">
        <v>192</v>
      </c>
      <c r="C7" s="313"/>
      <c r="D7" s="313"/>
      <c r="E7" s="314"/>
      <c r="F7" s="16">
        <f>C.Wall!B75</f>
        <v>129.5</v>
      </c>
      <c r="G7" s="95">
        <v>0</v>
      </c>
      <c r="H7" s="15">
        <v>0</v>
      </c>
      <c r="I7" s="95">
        <f>F7*25.7%</f>
        <v>33.281500000000001</v>
      </c>
      <c r="J7" s="95">
        <f>F7*3.44%</f>
        <v>4.4547999999999996</v>
      </c>
      <c r="K7" s="95">
        <f>F7*1350%</f>
        <v>1748.25</v>
      </c>
    </row>
    <row r="8" spans="1:17" ht="30" customHeight="1">
      <c r="A8" s="15">
        <v>4</v>
      </c>
      <c r="B8" s="312" t="s">
        <v>193</v>
      </c>
      <c r="C8" s="313"/>
      <c r="D8" s="313"/>
      <c r="E8" s="314"/>
      <c r="F8" s="16">
        <f>C.Wall!B51</f>
        <v>70.25</v>
      </c>
      <c r="G8" s="16">
        <f>F8*88%</f>
        <v>61.82</v>
      </c>
      <c r="H8" s="16">
        <v>0</v>
      </c>
      <c r="I8" s="16">
        <f>F8*44%</f>
        <v>30.91</v>
      </c>
      <c r="J8" s="16">
        <f>F8*17.6%</f>
        <v>12.364000000000001</v>
      </c>
      <c r="K8" s="16">
        <v>0</v>
      </c>
    </row>
    <row r="9" spans="1:17" ht="30" customHeight="1">
      <c r="A9" s="15">
        <v>6</v>
      </c>
      <c r="B9" s="315" t="s">
        <v>195</v>
      </c>
      <c r="C9" s="317"/>
      <c r="D9" s="317"/>
      <c r="E9" s="318"/>
      <c r="F9" s="68">
        <f>C.Wall!B82</f>
        <v>1611</v>
      </c>
      <c r="G9" s="96">
        <v>0</v>
      </c>
      <c r="H9" s="96">
        <v>0</v>
      </c>
      <c r="I9" s="96">
        <f>F9*4%</f>
        <v>64.44</v>
      </c>
      <c r="J9" s="96">
        <f>F9:F1052%</f>
        <v>16.11</v>
      </c>
      <c r="K9" s="96">
        <v>0</v>
      </c>
    </row>
    <row r="10" spans="1:17" ht="30" customHeight="1">
      <c r="A10" s="15">
        <v>7</v>
      </c>
      <c r="B10" s="315" t="s">
        <v>196</v>
      </c>
      <c r="C10" s="317"/>
      <c r="D10" s="317"/>
      <c r="E10" s="318"/>
      <c r="F10" s="68">
        <f>F9</f>
        <v>1611</v>
      </c>
      <c r="G10" s="96" t="s">
        <v>26</v>
      </c>
      <c r="H10" s="96">
        <f>SUM(H7:H9)</f>
        <v>0</v>
      </c>
      <c r="I10" s="96">
        <f>F10*3%</f>
        <v>48.33</v>
      </c>
      <c r="J10" s="96">
        <f>F10*0.57%</f>
        <v>9.1826999999999988</v>
      </c>
      <c r="K10" s="96">
        <v>0</v>
      </c>
    </row>
    <row r="11" spans="1:17" ht="30" customHeight="1">
      <c r="A11" s="15">
        <v>8</v>
      </c>
      <c r="B11" s="315" t="s">
        <v>197</v>
      </c>
      <c r="C11" s="317"/>
      <c r="D11" s="317"/>
      <c r="E11" s="318"/>
      <c r="F11" s="68">
        <f>C.Wall!B89</f>
        <v>1336</v>
      </c>
      <c r="G11" s="96">
        <v>0</v>
      </c>
      <c r="H11" s="96">
        <f>SUM(H9:H10)</f>
        <v>0</v>
      </c>
      <c r="I11" s="96">
        <f>F11*2%</f>
        <v>26.72</v>
      </c>
      <c r="J11" s="96">
        <f>F11*0.54%</f>
        <v>7.2144000000000004</v>
      </c>
      <c r="K11" s="96">
        <v>0</v>
      </c>
      <c r="L11" s="316"/>
      <c r="M11" s="316"/>
      <c r="N11" s="316"/>
      <c r="O11" s="316"/>
      <c r="P11" s="316"/>
      <c r="Q11" s="316"/>
    </row>
    <row r="12" spans="1:17" ht="30" customHeight="1">
      <c r="A12" s="13"/>
      <c r="B12" s="309" t="s">
        <v>6</v>
      </c>
      <c r="C12" s="310"/>
      <c r="D12" s="310"/>
      <c r="E12" s="311"/>
      <c r="F12" s="14"/>
      <c r="G12" s="97">
        <f>SUM(G5:G11)</f>
        <v>1290.94</v>
      </c>
      <c r="H12" s="97">
        <f>SUM(H5:H11)</f>
        <v>249.12</v>
      </c>
      <c r="I12" s="97">
        <f>SUM(I5:I11)</f>
        <v>942.80150000000015</v>
      </c>
      <c r="J12" s="97">
        <f>SUM(J5:J11)</f>
        <v>247.91790000000003</v>
      </c>
      <c r="K12" s="97">
        <f>SUM(K5:K11)</f>
        <v>1748.25</v>
      </c>
      <c r="L12" s="316"/>
      <c r="M12" s="316"/>
      <c r="N12" s="316"/>
      <c r="O12" s="316"/>
      <c r="P12" s="316"/>
      <c r="Q12" s="316"/>
    </row>
  </sheetData>
  <mergeCells count="12">
    <mergeCell ref="B9:E9"/>
    <mergeCell ref="B8:E8"/>
    <mergeCell ref="A1:K1"/>
    <mergeCell ref="B4:E4"/>
    <mergeCell ref="B5:E5"/>
    <mergeCell ref="B6:E6"/>
    <mergeCell ref="B7:E7"/>
    <mergeCell ref="B10:E10"/>
    <mergeCell ref="B11:E11"/>
    <mergeCell ref="L11:Q11"/>
    <mergeCell ref="B12:E12"/>
    <mergeCell ref="L12:Q12"/>
  </mergeCells>
  <pageMargins left="1.18" right="0.16" top="1" bottom="1" header="0.5" footer="0.5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403"/>
  <sheetViews>
    <sheetView tabSelected="1" topLeftCell="A388" workbookViewId="0">
      <selection activeCell="I400" sqref="I400"/>
    </sheetView>
  </sheetViews>
  <sheetFormatPr defaultRowHeight="15"/>
  <cols>
    <col min="1" max="1" width="4.7109375" style="143" customWidth="1"/>
    <col min="2" max="2" width="11.140625" style="64" customWidth="1"/>
    <col min="3" max="3" width="7.7109375" style="64" customWidth="1"/>
    <col min="4" max="4" width="5.7109375" style="64" customWidth="1"/>
    <col min="5" max="5" width="4.7109375" style="64" customWidth="1"/>
    <col min="6" max="6" width="6.140625" style="64" customWidth="1"/>
    <col min="7" max="7" width="4.7109375" style="64" customWidth="1"/>
    <col min="8" max="8" width="3.7109375" style="64" customWidth="1"/>
    <col min="9" max="9" width="4.85546875" style="64" customWidth="1"/>
    <col min="10" max="10" width="4.5703125" style="64" customWidth="1"/>
    <col min="11" max="11" width="2.85546875" style="64" customWidth="1"/>
    <col min="12" max="12" width="10.28515625" style="64" customWidth="1"/>
    <col min="13" max="13" width="8.7109375" style="64" customWidth="1"/>
    <col min="14" max="14" width="3.7109375" style="64" customWidth="1"/>
    <col min="15" max="15" width="11.140625" style="64" customWidth="1"/>
    <col min="16" max="16" width="0.42578125" style="64" customWidth="1"/>
    <col min="17" max="19" width="9.140625" style="64" hidden="1" customWidth="1"/>
    <col min="20" max="20" width="11" style="64" hidden="1" customWidth="1"/>
    <col min="21" max="24" width="9.140625" style="64" hidden="1" customWidth="1"/>
    <col min="25" max="26" width="0" style="64" hidden="1" customWidth="1"/>
    <col min="27" max="16384" width="9.140625" style="64"/>
  </cols>
  <sheetData>
    <row r="1" spans="1:15" ht="21.75" customHeight="1">
      <c r="A1" s="352" t="s">
        <v>471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</row>
    <row r="2" spans="1:15" s="227" customFormat="1" ht="40.5" customHeight="1">
      <c r="A2" s="353" t="s">
        <v>472</v>
      </c>
      <c r="B2" s="353"/>
      <c r="C2" s="353"/>
      <c r="D2" s="353"/>
      <c r="E2" s="353" t="s">
        <v>370</v>
      </c>
      <c r="F2" s="353"/>
      <c r="G2" s="353"/>
      <c r="H2" s="353"/>
      <c r="I2" s="353"/>
      <c r="J2" s="353"/>
      <c r="K2" s="353"/>
      <c r="L2" s="353"/>
      <c r="M2" s="353"/>
      <c r="N2" s="353"/>
      <c r="O2" s="353"/>
    </row>
    <row r="3" spans="1:15" s="227" customFormat="1" ht="18">
      <c r="A3" s="236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</row>
    <row r="4" spans="1:15" s="227" customFormat="1" ht="30.75" customHeight="1">
      <c r="A4" s="229" t="s">
        <v>474</v>
      </c>
      <c r="B4" s="229" t="s">
        <v>475</v>
      </c>
      <c r="C4" s="357" t="s">
        <v>473</v>
      </c>
      <c r="D4" s="357"/>
      <c r="E4" s="357"/>
      <c r="F4" s="357"/>
      <c r="G4" s="357"/>
      <c r="H4" s="357"/>
      <c r="I4" s="357"/>
      <c r="J4" s="357"/>
      <c r="K4" s="357"/>
      <c r="L4" s="229" t="s">
        <v>1</v>
      </c>
      <c r="M4" s="230" t="s">
        <v>2</v>
      </c>
      <c r="N4" s="358" t="s">
        <v>476</v>
      </c>
      <c r="O4" s="359"/>
    </row>
    <row r="5" spans="1:15" s="227" customFormat="1" ht="18">
      <c r="A5" s="229">
        <v>1</v>
      </c>
      <c r="B5" s="229">
        <v>2</v>
      </c>
      <c r="C5" s="357">
        <v>3</v>
      </c>
      <c r="D5" s="357"/>
      <c r="E5" s="357"/>
      <c r="F5" s="357"/>
      <c r="G5" s="357"/>
      <c r="H5" s="357"/>
      <c r="I5" s="357"/>
      <c r="J5" s="357"/>
      <c r="K5" s="357"/>
      <c r="L5" s="229">
        <v>4</v>
      </c>
      <c r="M5" s="229">
        <v>5</v>
      </c>
      <c r="N5" s="357">
        <v>6</v>
      </c>
      <c r="O5" s="357"/>
    </row>
    <row r="6" spans="1:15" ht="6" customHeight="1"/>
    <row r="7" spans="1:15" s="136" customFormat="1" ht="15" customHeight="1">
      <c r="A7" s="237"/>
      <c r="B7" s="354" t="s">
        <v>502</v>
      </c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</row>
    <row r="8" spans="1:15" customFormat="1" ht="9.75" customHeight="1">
      <c r="A8" s="42"/>
      <c r="B8" s="46"/>
      <c r="C8" s="46"/>
      <c r="D8" s="46"/>
      <c r="E8" s="46"/>
      <c r="K8" s="49"/>
      <c r="L8" s="2"/>
      <c r="O8" s="5"/>
    </row>
    <row r="9" spans="1:15" s="136" customFormat="1" ht="30.75" customHeight="1">
      <c r="A9" s="219">
        <v>1</v>
      </c>
      <c r="B9" s="356" t="s">
        <v>380</v>
      </c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138"/>
    </row>
    <row r="10" spans="1:15" s="136" customFormat="1" ht="15" customHeight="1">
      <c r="A10" s="219"/>
      <c r="B10" s="147" t="s">
        <v>383</v>
      </c>
      <c r="C10" s="138"/>
      <c r="D10" s="179"/>
      <c r="E10" s="138"/>
      <c r="F10" s="138"/>
      <c r="G10" s="138"/>
      <c r="H10" s="138"/>
      <c r="I10" s="138"/>
      <c r="J10" s="138"/>
      <c r="K10" s="138"/>
      <c r="L10" s="138"/>
      <c r="M10" s="138"/>
    </row>
    <row r="11" spans="1:15" s="136" customFormat="1" ht="15" customHeight="1">
      <c r="A11" s="237"/>
      <c r="B11" s="355">
        <v>100</v>
      </c>
      <c r="C11" s="355"/>
      <c r="D11" s="138" t="s">
        <v>12</v>
      </c>
      <c r="E11" s="138"/>
      <c r="F11" s="138"/>
      <c r="G11" s="138"/>
      <c r="H11" s="138"/>
      <c r="I11" s="138"/>
      <c r="J11" s="138"/>
      <c r="K11" s="139" t="s">
        <v>13</v>
      </c>
      <c r="L11" s="138">
        <v>743</v>
      </c>
      <c r="M11" s="138" t="s">
        <v>386</v>
      </c>
      <c r="N11" s="139" t="s">
        <v>7</v>
      </c>
      <c r="O11" s="144">
        <f>L11*B11</f>
        <v>74300</v>
      </c>
    </row>
    <row r="12" spans="1:15" s="136" customFormat="1" ht="18" customHeight="1">
      <c r="A12" s="219"/>
      <c r="B12" s="138" t="s">
        <v>394</v>
      </c>
      <c r="C12" s="138"/>
      <c r="D12" s="179"/>
      <c r="E12" s="138"/>
      <c r="F12" s="138"/>
      <c r="G12" s="138"/>
      <c r="H12" s="138"/>
      <c r="I12" s="138"/>
      <c r="J12" s="138"/>
      <c r="K12" s="138"/>
      <c r="L12" s="138"/>
      <c r="M12" s="138"/>
    </row>
    <row r="13" spans="1:15" s="136" customFormat="1" ht="15" customHeight="1">
      <c r="A13" s="237"/>
      <c r="B13" s="355">
        <v>100</v>
      </c>
      <c r="C13" s="355"/>
      <c r="D13" s="138" t="s">
        <v>12</v>
      </c>
      <c r="E13" s="138"/>
      <c r="F13" s="138"/>
      <c r="G13" s="138"/>
      <c r="H13" s="138"/>
      <c r="I13" s="138"/>
      <c r="J13" s="138"/>
      <c r="K13" s="139" t="s">
        <v>13</v>
      </c>
      <c r="L13" s="138">
        <v>160</v>
      </c>
      <c r="M13" s="138" t="s">
        <v>386</v>
      </c>
      <c r="N13" s="139" t="s">
        <v>7</v>
      </c>
      <c r="O13" s="144">
        <f>L13*B13</f>
        <v>16000</v>
      </c>
    </row>
    <row r="14" spans="1:15" s="136" customFormat="1" ht="9" customHeight="1">
      <c r="A14" s="237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O14" s="145"/>
    </row>
    <row r="15" spans="1:15" s="136" customFormat="1" ht="33.75" customHeight="1">
      <c r="A15" s="219">
        <v>2</v>
      </c>
      <c r="B15" s="356" t="s">
        <v>381</v>
      </c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138"/>
    </row>
    <row r="16" spans="1:15" s="136" customFormat="1" ht="9" customHeight="1">
      <c r="A16" s="237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O16" s="145"/>
    </row>
    <row r="17" spans="1:15" s="136" customFormat="1" ht="15" customHeight="1">
      <c r="A17" s="237"/>
      <c r="B17" s="355">
        <v>1</v>
      </c>
      <c r="C17" s="355"/>
      <c r="D17" s="138" t="s">
        <v>395</v>
      </c>
      <c r="E17" s="138"/>
      <c r="F17" s="138"/>
      <c r="G17" s="138"/>
      <c r="H17" s="138"/>
      <c r="I17" s="138"/>
      <c r="J17" s="138"/>
      <c r="K17" s="139" t="s">
        <v>13</v>
      </c>
      <c r="L17" s="148">
        <v>3530</v>
      </c>
      <c r="M17" s="138" t="s">
        <v>390</v>
      </c>
      <c r="N17" s="139" t="s">
        <v>7</v>
      </c>
      <c r="O17" s="144">
        <f>L17*B17</f>
        <v>3530</v>
      </c>
    </row>
    <row r="18" spans="1:15" s="136" customFormat="1" ht="11.25" customHeight="1">
      <c r="A18" s="237"/>
      <c r="B18" s="178"/>
      <c r="C18" s="178"/>
      <c r="D18" s="138"/>
      <c r="E18" s="138"/>
      <c r="F18" s="138"/>
      <c r="G18" s="138"/>
      <c r="H18" s="138"/>
      <c r="I18" s="138"/>
      <c r="J18" s="138"/>
      <c r="K18" s="139"/>
      <c r="L18" s="138"/>
      <c r="M18" s="138"/>
      <c r="N18" s="139"/>
      <c r="O18" s="144"/>
    </row>
    <row r="19" spans="1:15" s="136" customFormat="1" ht="30.75" customHeight="1">
      <c r="A19" s="219">
        <v>3</v>
      </c>
      <c r="B19" s="356" t="s">
        <v>382</v>
      </c>
      <c r="C19" s="356"/>
      <c r="D19" s="356"/>
      <c r="E19" s="356"/>
      <c r="F19" s="356"/>
      <c r="G19" s="356"/>
      <c r="H19" s="356"/>
      <c r="I19" s="356"/>
      <c r="J19" s="356"/>
      <c r="K19" s="356"/>
      <c r="L19" s="356"/>
      <c r="M19" s="138"/>
    </row>
    <row r="20" spans="1:15" s="136" customFormat="1" ht="8.25" customHeight="1">
      <c r="A20" s="237"/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O20" s="145"/>
    </row>
    <row r="21" spans="1:15" s="136" customFormat="1" ht="15" customHeight="1">
      <c r="A21" s="237"/>
      <c r="B21" s="355">
        <v>4</v>
      </c>
      <c r="C21" s="355"/>
      <c r="D21" s="138" t="s">
        <v>396</v>
      </c>
      <c r="E21" s="138"/>
      <c r="F21" s="138"/>
      <c r="G21" s="138"/>
      <c r="H21" s="138"/>
      <c r="I21" s="138"/>
      <c r="J21" s="138"/>
      <c r="K21" s="139" t="s">
        <v>13</v>
      </c>
      <c r="L21" s="138">
        <v>101</v>
      </c>
      <c r="M21" s="138" t="s">
        <v>390</v>
      </c>
      <c r="N21" s="139" t="s">
        <v>7</v>
      </c>
      <c r="O21" s="144">
        <f>B21*L21</f>
        <v>404</v>
      </c>
    </row>
    <row r="22" spans="1:15" s="136" customFormat="1" ht="30.75" customHeight="1">
      <c r="A22" s="219">
        <v>4</v>
      </c>
      <c r="B22" s="356" t="s">
        <v>385</v>
      </c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138"/>
    </row>
    <row r="23" spans="1:15" s="136" customFormat="1" ht="10.5" customHeight="1">
      <c r="A23" s="237"/>
      <c r="B23" s="138"/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O23" s="145"/>
    </row>
    <row r="24" spans="1:15" s="136" customFormat="1" ht="15" customHeight="1">
      <c r="A24" s="237"/>
      <c r="B24" s="355">
        <v>4</v>
      </c>
      <c r="C24" s="355"/>
      <c r="D24" s="138" t="s">
        <v>393</v>
      </c>
      <c r="E24" s="138"/>
      <c r="F24" s="138"/>
      <c r="G24" s="138"/>
      <c r="H24" s="138"/>
      <c r="I24" s="138"/>
      <c r="J24" s="138"/>
      <c r="K24" s="139" t="s">
        <v>13</v>
      </c>
      <c r="L24" s="138">
        <v>131</v>
      </c>
      <c r="M24" s="138" t="s">
        <v>390</v>
      </c>
      <c r="N24" s="139" t="s">
        <v>7</v>
      </c>
      <c r="O24" s="144">
        <f>L24*B24</f>
        <v>524</v>
      </c>
    </row>
    <row r="25" spans="1:15" s="136" customFormat="1" ht="15" customHeight="1">
      <c r="A25" s="237"/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O25" s="145"/>
    </row>
    <row r="26" spans="1:15" s="136" customFormat="1" ht="30.75" customHeight="1">
      <c r="A26" s="219">
        <v>5</v>
      </c>
      <c r="B26" s="356" t="s">
        <v>387</v>
      </c>
      <c r="C26" s="356"/>
      <c r="D26" s="356"/>
      <c r="E26" s="356"/>
      <c r="F26" s="356"/>
      <c r="G26" s="356"/>
      <c r="H26" s="356"/>
      <c r="I26" s="356"/>
      <c r="J26" s="356"/>
      <c r="K26" s="356"/>
      <c r="L26" s="356"/>
      <c r="M26" s="138"/>
    </row>
    <row r="27" spans="1:15" s="136" customFormat="1" ht="15" customHeight="1">
      <c r="A27" s="237"/>
      <c r="B27" s="138" t="s">
        <v>397</v>
      </c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O27" s="145"/>
    </row>
    <row r="28" spans="1:15" s="136" customFormat="1" ht="15" customHeight="1">
      <c r="A28" s="237"/>
      <c r="B28" s="355">
        <v>26</v>
      </c>
      <c r="C28" s="355"/>
      <c r="D28" s="138" t="s">
        <v>12</v>
      </c>
      <c r="E28" s="138"/>
      <c r="F28" s="138"/>
      <c r="G28" s="138"/>
      <c r="H28" s="138"/>
      <c r="I28" s="138"/>
      <c r="J28" s="138"/>
      <c r="K28" s="139" t="s">
        <v>13</v>
      </c>
      <c r="L28" s="138">
        <v>554.04999999999995</v>
      </c>
      <c r="M28" s="138" t="s">
        <v>386</v>
      </c>
      <c r="N28" s="139" t="s">
        <v>7</v>
      </c>
      <c r="O28" s="144">
        <f>L28*B28</f>
        <v>14405.3</v>
      </c>
    </row>
    <row r="29" spans="1:15" s="136" customFormat="1" ht="15" customHeight="1">
      <c r="A29" s="237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O29" s="145"/>
    </row>
    <row r="30" spans="1:15" s="136" customFormat="1" ht="30.75" customHeight="1">
      <c r="A30" s="219">
        <v>6</v>
      </c>
      <c r="B30" s="356" t="s">
        <v>392</v>
      </c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138"/>
    </row>
    <row r="31" spans="1:15" s="136" customFormat="1" ht="15" customHeight="1">
      <c r="A31" s="237"/>
      <c r="B31" s="138" t="s">
        <v>397</v>
      </c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O31" s="145"/>
    </row>
    <row r="32" spans="1:15" s="136" customFormat="1" ht="15" customHeight="1">
      <c r="A32" s="237"/>
      <c r="B32" s="355">
        <v>76</v>
      </c>
      <c r="C32" s="355"/>
      <c r="D32" s="138" t="s">
        <v>12</v>
      </c>
      <c r="E32" s="138"/>
      <c r="F32" s="138"/>
      <c r="G32" s="138"/>
      <c r="H32" s="138"/>
      <c r="I32" s="138"/>
      <c r="J32" s="138"/>
      <c r="K32" s="139" t="s">
        <v>13</v>
      </c>
      <c r="L32" s="140">
        <v>516.79999999999995</v>
      </c>
      <c r="M32" s="138" t="s">
        <v>386</v>
      </c>
      <c r="N32" s="139" t="s">
        <v>7</v>
      </c>
      <c r="O32" s="144">
        <f>L32*B32</f>
        <v>39276.799999999996</v>
      </c>
    </row>
    <row r="33" spans="1:22" s="136" customFormat="1" ht="15" customHeight="1">
      <c r="A33" s="237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O33" s="145"/>
    </row>
    <row r="34" spans="1:22" s="136" customFormat="1" ht="30.75" customHeight="1">
      <c r="A34" s="219">
        <v>7</v>
      </c>
      <c r="B34" s="356" t="s">
        <v>388</v>
      </c>
      <c r="C34" s="356"/>
      <c r="D34" s="356"/>
      <c r="E34" s="356"/>
      <c r="F34" s="356"/>
      <c r="G34" s="356"/>
      <c r="H34" s="356"/>
      <c r="I34" s="356"/>
      <c r="J34" s="356"/>
      <c r="K34" s="356"/>
      <c r="L34" s="356"/>
      <c r="M34" s="138"/>
    </row>
    <row r="35" spans="1:22" s="136" customFormat="1" ht="15" customHeight="1">
      <c r="A35" s="237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O35" s="145"/>
    </row>
    <row r="36" spans="1:22" s="136" customFormat="1" ht="15" customHeight="1">
      <c r="A36" s="237"/>
      <c r="B36" s="355">
        <v>100</v>
      </c>
      <c r="C36" s="355"/>
      <c r="D36" s="138" t="s">
        <v>12</v>
      </c>
      <c r="E36" s="138"/>
      <c r="F36" s="138"/>
      <c r="G36" s="138"/>
      <c r="H36" s="138"/>
      <c r="I36" s="138"/>
      <c r="J36" s="138"/>
      <c r="K36" s="139" t="s">
        <v>13</v>
      </c>
      <c r="L36" s="140">
        <v>105</v>
      </c>
      <c r="M36" s="138" t="s">
        <v>386</v>
      </c>
      <c r="N36" s="139" t="s">
        <v>7</v>
      </c>
      <c r="O36" s="144">
        <f>L36*B36</f>
        <v>10500</v>
      </c>
    </row>
    <row r="37" spans="1:22" s="136" customFormat="1" ht="9.75" customHeight="1">
      <c r="A37" s="237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O37" s="145"/>
    </row>
    <row r="38" spans="1:22" s="136" customFormat="1" ht="32.25" customHeight="1">
      <c r="A38" s="219">
        <v>8</v>
      </c>
      <c r="B38" s="356" t="s">
        <v>389</v>
      </c>
      <c r="C38" s="356"/>
      <c r="D38" s="356"/>
      <c r="E38" s="356"/>
      <c r="F38" s="356"/>
      <c r="G38" s="356"/>
      <c r="H38" s="356"/>
      <c r="I38" s="356"/>
      <c r="J38" s="356"/>
      <c r="K38" s="356"/>
      <c r="L38" s="356"/>
      <c r="M38" s="138"/>
    </row>
    <row r="39" spans="1:22" s="136" customFormat="1" ht="15" customHeight="1">
      <c r="A39" s="237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O39" s="145"/>
    </row>
    <row r="40" spans="1:22" s="136" customFormat="1" ht="15" customHeight="1">
      <c r="A40" s="237"/>
      <c r="B40" s="355">
        <v>1</v>
      </c>
      <c r="C40" s="355"/>
      <c r="D40" s="138" t="s">
        <v>395</v>
      </c>
      <c r="E40" s="138"/>
      <c r="F40" s="138"/>
      <c r="G40" s="138"/>
      <c r="H40" s="138"/>
      <c r="I40" s="138"/>
      <c r="J40" s="138"/>
      <c r="K40" s="139" t="s">
        <v>13</v>
      </c>
      <c r="L40" s="140">
        <v>2607</v>
      </c>
      <c r="M40" s="138" t="s">
        <v>390</v>
      </c>
      <c r="N40" s="139" t="s">
        <v>7</v>
      </c>
      <c r="O40" s="144">
        <f>L40*B40</f>
        <v>2607</v>
      </c>
    </row>
    <row r="41" spans="1:22" s="136" customFormat="1" ht="15" customHeight="1">
      <c r="A41" s="237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85"/>
      <c r="O41" s="186"/>
    </row>
    <row r="42" spans="1:22" s="184" customFormat="1" ht="15" customHeight="1">
      <c r="A42" s="238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38" t="s">
        <v>398</v>
      </c>
      <c r="M42" s="138"/>
      <c r="N42" s="136" t="s">
        <v>7</v>
      </c>
      <c r="O42" s="145">
        <f>SUM(O11:O41)</f>
        <v>161547.1</v>
      </c>
    </row>
    <row r="43" spans="1:22" s="184" customFormat="1" ht="15" customHeight="1">
      <c r="A43" s="238"/>
      <c r="B43" s="151"/>
      <c r="C43" s="151"/>
      <c r="D43" s="151"/>
      <c r="E43" s="151"/>
      <c r="F43" s="361">
        <f>O42</f>
        <v>161547.1</v>
      </c>
      <c r="G43" s="362"/>
      <c r="H43" s="362"/>
      <c r="I43" s="151" t="s">
        <v>4</v>
      </c>
      <c r="J43" s="151">
        <v>2</v>
      </c>
      <c r="K43" s="151"/>
      <c r="L43" s="138"/>
      <c r="M43" s="138"/>
      <c r="N43" s="136" t="s">
        <v>7</v>
      </c>
      <c r="O43" s="145">
        <f>O42*J43</f>
        <v>323094.2</v>
      </c>
    </row>
    <row r="44" spans="1:22" s="184" customFormat="1" ht="15" customHeight="1">
      <c r="A44" s="238"/>
      <c r="B44" s="151"/>
      <c r="C44" s="151"/>
      <c r="D44" s="151"/>
      <c r="E44" s="151"/>
      <c r="F44" s="151"/>
      <c r="G44" s="151"/>
      <c r="H44" s="151"/>
      <c r="I44" s="151"/>
      <c r="J44" s="151"/>
      <c r="K44" s="151"/>
      <c r="L44" s="138"/>
      <c r="M44" s="138"/>
      <c r="N44" s="136"/>
      <c r="O44" s="145"/>
    </row>
    <row r="45" spans="1:22" s="184" customFormat="1" ht="15" customHeight="1">
      <c r="A45" s="238"/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38"/>
      <c r="M45" s="138"/>
      <c r="N45" s="136"/>
      <c r="O45" s="145"/>
    </row>
    <row r="46" spans="1:22" s="8" customFormat="1" ht="17.25" customHeight="1">
      <c r="A46" s="213"/>
      <c r="B46" s="360" t="s">
        <v>501</v>
      </c>
      <c r="C46" s="360"/>
      <c r="D46" s="360"/>
      <c r="E46" s="360"/>
      <c r="F46" s="360"/>
      <c r="G46" s="360"/>
      <c r="H46" s="180"/>
      <c r="I46" s="180"/>
      <c r="J46" s="180"/>
      <c r="K46" s="180"/>
      <c r="L46" s="180"/>
      <c r="M46" s="180"/>
      <c r="N46" s="180"/>
      <c r="O46" s="180"/>
    </row>
    <row r="47" spans="1:22" s="8" customFormat="1" ht="15" customHeight="1">
      <c r="A47" s="210">
        <v>1</v>
      </c>
      <c r="B47" s="8" t="s">
        <v>121</v>
      </c>
      <c r="O47" s="98"/>
      <c r="R47" s="8">
        <v>18</v>
      </c>
      <c r="S47" s="8" t="s">
        <v>55</v>
      </c>
      <c r="T47" s="8">
        <v>0.75</v>
      </c>
      <c r="U47" s="8" t="s">
        <v>38</v>
      </c>
      <c r="V47" s="8">
        <f>R47+T47</f>
        <v>18.75</v>
      </c>
    </row>
    <row r="48" spans="1:22" s="8" customFormat="1" ht="15" customHeight="1">
      <c r="A48" s="210"/>
      <c r="B48" s="8" t="s">
        <v>122</v>
      </c>
      <c r="O48" s="98"/>
      <c r="R48" s="8">
        <v>12</v>
      </c>
      <c r="S48" s="8" t="s">
        <v>215</v>
      </c>
      <c r="T48" s="8">
        <v>0.75</v>
      </c>
      <c r="U48" s="8" t="s">
        <v>38</v>
      </c>
      <c r="V48" s="8">
        <f>R48+T48</f>
        <v>12.75</v>
      </c>
    </row>
    <row r="49" spans="1:15" s="8" customFormat="1" ht="15" customHeight="1">
      <c r="A49" s="210"/>
      <c r="B49" s="8" t="s">
        <v>123</v>
      </c>
      <c r="O49" s="98"/>
    </row>
    <row r="50" spans="1:15" s="115" customFormat="1" ht="23.25" customHeight="1">
      <c r="A50" s="239"/>
      <c r="B50" s="231">
        <v>195.5</v>
      </c>
      <c r="C50" s="232" t="s">
        <v>8</v>
      </c>
      <c r="D50" s="232"/>
      <c r="E50" s="232"/>
      <c r="K50" s="233" t="s">
        <v>32</v>
      </c>
      <c r="L50" s="234">
        <v>3176.25</v>
      </c>
      <c r="M50" s="115" t="s">
        <v>105</v>
      </c>
      <c r="N50" s="115" t="s">
        <v>31</v>
      </c>
      <c r="O50" s="235">
        <f>B50*L50/1000</f>
        <v>620.95687499999997</v>
      </c>
    </row>
    <row r="51" spans="1:15" s="8" customFormat="1" ht="15" customHeight="1">
      <c r="A51" s="210"/>
      <c r="K51" s="107"/>
      <c r="L51" s="92"/>
      <c r="O51" s="222"/>
    </row>
    <row r="52" spans="1:15" s="8" customFormat="1" ht="15" customHeight="1">
      <c r="A52" s="210">
        <v>2</v>
      </c>
      <c r="B52" s="8" t="s">
        <v>128</v>
      </c>
      <c r="L52" s="92"/>
      <c r="O52" s="222"/>
    </row>
    <row r="53" spans="1:15" s="8" customFormat="1" ht="15" customHeight="1">
      <c r="A53" s="210"/>
      <c r="B53" s="8" t="s">
        <v>129</v>
      </c>
      <c r="L53" s="92"/>
      <c r="O53" s="222"/>
    </row>
    <row r="54" spans="1:15" s="8" customFormat="1" ht="15" customHeight="1">
      <c r="A54" s="210"/>
      <c r="B54" s="102">
        <v>98.74</v>
      </c>
      <c r="C54" s="103" t="s">
        <v>399</v>
      </c>
      <c r="D54" s="103"/>
      <c r="E54" s="103"/>
      <c r="K54" s="214" t="str">
        <f>K50</f>
        <v xml:space="preserve"> @Rs:</v>
      </c>
      <c r="L54" s="105">
        <v>9416.2800000000007</v>
      </c>
      <c r="M54" s="8" t="s">
        <v>14</v>
      </c>
      <c r="N54" s="8" t="s">
        <v>31</v>
      </c>
      <c r="O54" s="222">
        <f>B54*L54/100</f>
        <v>9297.6348720000005</v>
      </c>
    </row>
    <row r="55" spans="1:15" s="8" customFormat="1" ht="15" customHeight="1">
      <c r="A55" s="210"/>
      <c r="L55" s="92"/>
      <c r="O55" s="222"/>
    </row>
    <row r="56" spans="1:15" s="8" customFormat="1" ht="15" customHeight="1">
      <c r="A56" s="210">
        <v>3</v>
      </c>
      <c r="B56" s="8" t="s">
        <v>130</v>
      </c>
      <c r="L56" s="92"/>
      <c r="O56" s="222"/>
    </row>
    <row r="57" spans="1:15" s="8" customFormat="1" ht="15" customHeight="1">
      <c r="A57" s="210"/>
      <c r="B57" s="8" t="s">
        <v>131</v>
      </c>
      <c r="L57" s="92"/>
      <c r="O57" s="222"/>
    </row>
    <row r="58" spans="1:15" s="8" customFormat="1" ht="15" customHeight="1">
      <c r="A58" s="210"/>
      <c r="B58" s="8" t="s">
        <v>132</v>
      </c>
      <c r="L58" s="92"/>
      <c r="O58" s="222"/>
    </row>
    <row r="59" spans="1:15" s="8" customFormat="1" ht="15" customHeight="1">
      <c r="A59" s="210"/>
      <c r="B59" s="102">
        <v>225</v>
      </c>
      <c r="C59" s="103" t="s">
        <v>399</v>
      </c>
      <c r="D59" s="103"/>
      <c r="E59" s="103"/>
      <c r="K59" s="214" t="str">
        <f>K54</f>
        <v xml:space="preserve"> @Rs:</v>
      </c>
      <c r="L59" s="109">
        <v>12595</v>
      </c>
      <c r="M59" s="8" t="s">
        <v>14</v>
      </c>
      <c r="N59" s="8" t="s">
        <v>31</v>
      </c>
      <c r="O59" s="222">
        <f>B59*L59/100</f>
        <v>28338.75</v>
      </c>
    </row>
    <row r="60" spans="1:15" s="8" customFormat="1" ht="15" customHeight="1">
      <c r="A60" s="210"/>
      <c r="K60" s="104"/>
      <c r="L60" s="92"/>
      <c r="O60" s="222"/>
    </row>
    <row r="61" spans="1:15" s="8" customFormat="1" ht="15" customHeight="1">
      <c r="A61" s="210">
        <v>4</v>
      </c>
      <c r="B61" s="8" t="s">
        <v>133</v>
      </c>
      <c r="L61" s="92"/>
      <c r="O61" s="222"/>
    </row>
    <row r="62" spans="1:15" s="8" customFormat="1" ht="15" customHeight="1">
      <c r="A62" s="210"/>
      <c r="B62" s="8" t="s">
        <v>134</v>
      </c>
      <c r="L62" s="92"/>
      <c r="O62" s="222"/>
    </row>
    <row r="63" spans="1:15" s="8" customFormat="1" ht="15" customHeight="1">
      <c r="A63" s="210"/>
      <c r="B63" s="102">
        <v>376</v>
      </c>
      <c r="C63" s="103" t="s">
        <v>477</v>
      </c>
      <c r="D63" s="103"/>
      <c r="E63" s="103"/>
      <c r="K63" s="214" t="str">
        <f>K59</f>
        <v xml:space="preserve"> @Rs:</v>
      </c>
      <c r="L63" s="92">
        <v>3127.41</v>
      </c>
      <c r="M63" s="8" t="s">
        <v>9</v>
      </c>
      <c r="N63" s="8" t="s">
        <v>7</v>
      </c>
      <c r="O63" s="222">
        <f>B63*L63/100</f>
        <v>11759.061599999999</v>
      </c>
    </row>
    <row r="64" spans="1:15" s="8" customFormat="1" ht="15" customHeight="1">
      <c r="A64" s="210"/>
      <c r="B64" s="111"/>
      <c r="C64" s="112"/>
      <c r="D64" s="112"/>
      <c r="E64" s="112"/>
      <c r="K64" s="214"/>
      <c r="L64" s="92"/>
      <c r="O64" s="222"/>
    </row>
    <row r="65" spans="1:15" s="8" customFormat="1" ht="15" customHeight="1">
      <c r="A65" s="210">
        <v>5</v>
      </c>
      <c r="B65" s="105" t="s">
        <v>136</v>
      </c>
      <c r="C65" s="112"/>
      <c r="D65" s="112"/>
      <c r="E65" s="112"/>
      <c r="K65" s="214"/>
      <c r="L65" s="92"/>
      <c r="O65" s="222"/>
    </row>
    <row r="66" spans="1:15" s="8" customFormat="1" ht="15" customHeight="1">
      <c r="A66" s="210"/>
      <c r="B66" s="105" t="s">
        <v>137</v>
      </c>
      <c r="C66" s="112"/>
      <c r="D66" s="112"/>
      <c r="E66" s="112"/>
      <c r="K66" s="214"/>
      <c r="L66" s="92"/>
      <c r="O66" s="222"/>
    </row>
    <row r="67" spans="1:15" s="8" customFormat="1" ht="10.5" customHeight="1">
      <c r="A67" s="210"/>
      <c r="B67" s="105"/>
      <c r="C67" s="210"/>
      <c r="D67" s="210"/>
      <c r="E67" s="215"/>
      <c r="K67" s="66"/>
      <c r="L67" s="92"/>
      <c r="O67" s="222"/>
    </row>
    <row r="68" spans="1:15" s="8" customFormat="1" ht="15" customHeight="1">
      <c r="A68" s="210"/>
      <c r="B68" s="102">
        <v>268.13</v>
      </c>
      <c r="C68" s="102" t="s">
        <v>8</v>
      </c>
      <c r="D68" s="102"/>
      <c r="E68" s="102"/>
      <c r="K68" s="214" t="str">
        <f>K63</f>
        <v xml:space="preserve"> @Rs:</v>
      </c>
      <c r="L68" s="92">
        <v>3630</v>
      </c>
      <c r="M68" s="8" t="s">
        <v>3</v>
      </c>
      <c r="N68" s="8" t="s">
        <v>31</v>
      </c>
      <c r="O68" s="222">
        <f>B68*L68/1000</f>
        <v>973.31190000000004</v>
      </c>
    </row>
    <row r="69" spans="1:15" s="8" customFormat="1" ht="11.25" customHeight="1">
      <c r="A69" s="210"/>
      <c r="B69" s="215"/>
      <c r="C69" s="210"/>
      <c r="D69" s="210"/>
      <c r="E69" s="210"/>
      <c r="K69" s="214"/>
      <c r="L69" s="92"/>
      <c r="O69" s="222"/>
    </row>
    <row r="70" spans="1:15" s="8" customFormat="1" ht="15" customHeight="1">
      <c r="A70" s="210">
        <v>6</v>
      </c>
      <c r="B70" s="8" t="s">
        <v>138</v>
      </c>
      <c r="L70" s="92"/>
      <c r="O70" s="222"/>
    </row>
    <row r="71" spans="1:15" s="8" customFormat="1" ht="15" customHeight="1">
      <c r="A71" s="210"/>
      <c r="B71" s="8" t="s">
        <v>139</v>
      </c>
      <c r="L71" s="92"/>
      <c r="O71" s="222"/>
    </row>
    <row r="72" spans="1:15" s="8" customFormat="1" ht="15" customHeight="1">
      <c r="A72" s="210"/>
      <c r="B72" s="102">
        <v>323.63</v>
      </c>
      <c r="C72" s="103" t="s">
        <v>8</v>
      </c>
      <c r="D72" s="103"/>
      <c r="E72" s="103"/>
      <c r="K72" s="214" t="str">
        <f>K63</f>
        <v xml:space="preserve"> @Rs:</v>
      </c>
      <c r="L72" s="105">
        <v>12674.36</v>
      </c>
      <c r="M72" s="8" t="s">
        <v>14</v>
      </c>
      <c r="N72" s="8" t="s">
        <v>31</v>
      </c>
      <c r="O72" s="222">
        <f>B72*L72/100</f>
        <v>41018.031267999999</v>
      </c>
    </row>
    <row r="73" spans="1:15" s="8" customFormat="1" ht="15" customHeight="1">
      <c r="A73" s="210"/>
      <c r="K73" s="107"/>
      <c r="L73" s="92"/>
      <c r="O73" s="222"/>
    </row>
    <row r="74" spans="1:15" s="8" customFormat="1" ht="15" customHeight="1">
      <c r="A74" s="210">
        <v>7</v>
      </c>
      <c r="B74" s="8" t="s">
        <v>15</v>
      </c>
      <c r="L74" s="92"/>
      <c r="O74" s="222"/>
    </row>
    <row r="75" spans="1:15" s="8" customFormat="1" ht="15" customHeight="1">
      <c r="A75" s="210"/>
      <c r="B75" s="41" t="s">
        <v>144</v>
      </c>
      <c r="C75" s="41"/>
      <c r="D75" s="41"/>
      <c r="E75" s="41"/>
      <c r="F75" s="41"/>
      <c r="G75" s="41"/>
      <c r="H75" s="41"/>
      <c r="L75" s="92"/>
      <c r="O75" s="222"/>
    </row>
    <row r="76" spans="1:15" s="8" customFormat="1" ht="15" customHeight="1">
      <c r="A76" s="210"/>
      <c r="B76" s="41" t="s">
        <v>145</v>
      </c>
      <c r="C76" s="41"/>
      <c r="D76" s="41"/>
      <c r="E76" s="41"/>
      <c r="F76" s="41"/>
      <c r="G76" s="41"/>
      <c r="H76" s="41"/>
      <c r="L76" s="92"/>
      <c r="O76" s="222"/>
    </row>
    <row r="77" spans="1:15" s="8" customFormat="1" ht="15" customHeight="1">
      <c r="A77" s="210"/>
      <c r="B77" s="8" t="s">
        <v>146</v>
      </c>
      <c r="L77" s="92"/>
      <c r="O77" s="222"/>
    </row>
    <row r="78" spans="1:15" s="8" customFormat="1" ht="15" customHeight="1">
      <c r="A78" s="210"/>
      <c r="B78" s="8" t="s">
        <v>147</v>
      </c>
      <c r="L78" s="92"/>
      <c r="O78" s="222"/>
    </row>
    <row r="79" spans="1:15" s="8" customFormat="1" ht="15" customHeight="1">
      <c r="A79" s="210"/>
      <c r="B79" s="8" t="s">
        <v>148</v>
      </c>
      <c r="L79" s="92"/>
      <c r="O79" s="222"/>
    </row>
    <row r="80" spans="1:15" s="8" customFormat="1" ht="15" customHeight="1">
      <c r="A80" s="210"/>
      <c r="B80" s="8" t="s">
        <v>149</v>
      </c>
      <c r="L80" s="92"/>
      <c r="O80" s="222"/>
    </row>
    <row r="81" spans="1:15" s="8" customFormat="1" ht="15" hidden="1" customHeight="1">
      <c r="A81" s="210"/>
      <c r="B81" s="8" t="s">
        <v>301</v>
      </c>
      <c r="K81" s="66"/>
      <c r="L81" s="92"/>
      <c r="O81" s="222"/>
    </row>
    <row r="82" spans="1:15" s="8" customFormat="1" ht="15" hidden="1" customHeight="1">
      <c r="A82" s="210"/>
      <c r="B82" s="8" t="s">
        <v>124</v>
      </c>
      <c r="C82" s="8">
        <v>0</v>
      </c>
      <c r="D82" s="8" t="s">
        <v>4</v>
      </c>
      <c r="E82" s="66" t="e">
        <f>#REF!</f>
        <v>#REF!</v>
      </c>
      <c r="F82" s="66" t="s">
        <v>4</v>
      </c>
      <c r="G82" s="66" t="e">
        <f>#REF!</f>
        <v>#REF!</v>
      </c>
      <c r="H82" s="66" t="s">
        <v>4</v>
      </c>
      <c r="I82" s="66">
        <v>1</v>
      </c>
      <c r="J82" s="8" t="s">
        <v>5</v>
      </c>
      <c r="K82" s="66" t="e">
        <f>C82*E82*G82*I82</f>
        <v>#REF!</v>
      </c>
      <c r="L82" s="92" t="s">
        <v>37</v>
      </c>
      <c r="O82" s="222"/>
    </row>
    <row r="83" spans="1:15" s="8" customFormat="1" ht="15" hidden="1" customHeight="1">
      <c r="A83" s="210"/>
      <c r="B83" s="8" t="s">
        <v>125</v>
      </c>
      <c r="C83" s="8">
        <v>0</v>
      </c>
      <c r="D83" s="8" t="s">
        <v>4</v>
      </c>
      <c r="E83" s="66" t="e">
        <f>#REF!</f>
        <v>#REF!</v>
      </c>
      <c r="F83" s="66" t="s">
        <v>4</v>
      </c>
      <c r="G83" s="66" t="e">
        <f>G82</f>
        <v>#REF!</v>
      </c>
      <c r="H83" s="66" t="s">
        <v>4</v>
      </c>
      <c r="I83" s="66">
        <f>I82</f>
        <v>1</v>
      </c>
      <c r="J83" s="8" t="s">
        <v>5</v>
      </c>
      <c r="K83" s="66" t="e">
        <f>C83*E83*G83*I83</f>
        <v>#REF!</v>
      </c>
      <c r="L83" s="92" t="s">
        <v>37</v>
      </c>
      <c r="O83" s="222"/>
    </row>
    <row r="84" spans="1:15" s="8" customFormat="1" ht="15" customHeight="1">
      <c r="A84" s="210"/>
      <c r="B84" s="102">
        <v>94.26</v>
      </c>
      <c r="C84" s="103" t="s">
        <v>8</v>
      </c>
      <c r="D84" s="103"/>
      <c r="E84" s="103"/>
      <c r="K84" s="214" t="str">
        <f>K72</f>
        <v xml:space="preserve"> @Rs:</v>
      </c>
      <c r="L84" s="92">
        <v>337</v>
      </c>
      <c r="M84" s="8" t="s">
        <v>59</v>
      </c>
      <c r="N84" s="8" t="s">
        <v>31</v>
      </c>
      <c r="O84" s="222">
        <f>B84*L84</f>
        <v>31765.620000000003</v>
      </c>
    </row>
    <row r="85" spans="1:15" s="8" customFormat="1" ht="15" customHeight="1">
      <c r="A85" s="210"/>
      <c r="F85" s="327"/>
      <c r="G85" s="306"/>
      <c r="K85" s="66"/>
      <c r="L85" s="92"/>
      <c r="O85" s="222"/>
    </row>
    <row r="86" spans="1:15" s="8" customFormat="1" ht="15" customHeight="1">
      <c r="A86" s="219">
        <v>8</v>
      </c>
      <c r="B86" s="8" t="s">
        <v>150</v>
      </c>
      <c r="L86" s="92"/>
      <c r="O86" s="222"/>
    </row>
    <row r="87" spans="1:15" s="8" customFormat="1" ht="15" customHeight="1">
      <c r="A87" s="219"/>
      <c r="B87" s="8" t="s">
        <v>151</v>
      </c>
      <c r="L87" s="92"/>
      <c r="O87" s="222"/>
    </row>
    <row r="88" spans="1:15" s="8" customFormat="1" ht="15" customHeight="1">
      <c r="A88" s="219"/>
      <c r="B88" s="8" t="s">
        <v>152</v>
      </c>
      <c r="L88" s="92"/>
      <c r="O88" s="222"/>
    </row>
    <row r="89" spans="1:15" s="8" customFormat="1" ht="15" customHeight="1">
      <c r="A89" s="210"/>
      <c r="B89" s="215"/>
      <c r="E89" s="66"/>
      <c r="K89" s="66"/>
      <c r="L89" s="92"/>
      <c r="O89" s="222"/>
    </row>
    <row r="90" spans="1:15" s="8" customFormat="1" ht="15" customHeight="1">
      <c r="A90" s="210"/>
      <c r="B90" s="102">
        <v>3.79</v>
      </c>
      <c r="C90" s="103" t="s">
        <v>11</v>
      </c>
      <c r="D90" s="103"/>
      <c r="E90" s="103"/>
      <c r="K90" s="214" t="str">
        <f>K84</f>
        <v xml:space="preserve"> @Rs:</v>
      </c>
      <c r="L90" s="92">
        <v>5001.7</v>
      </c>
      <c r="M90" s="8" t="s">
        <v>76</v>
      </c>
      <c r="N90" s="8" t="s">
        <v>31</v>
      </c>
      <c r="O90" s="222">
        <f>B90*L90</f>
        <v>18956.442999999999</v>
      </c>
    </row>
    <row r="91" spans="1:15" s="8" customFormat="1" ht="15" customHeight="1">
      <c r="A91" s="210"/>
      <c r="L91" s="92"/>
      <c r="O91" s="222"/>
    </row>
    <row r="92" spans="1:15" s="8" customFormat="1" ht="15" customHeight="1">
      <c r="A92" s="239">
        <v>9</v>
      </c>
      <c r="B92" s="8" t="s">
        <v>153</v>
      </c>
      <c r="L92" s="92"/>
      <c r="O92" s="222"/>
    </row>
    <row r="93" spans="1:15" s="8" customFormat="1" ht="15" customHeight="1">
      <c r="A93" s="239"/>
      <c r="B93" s="8" t="s">
        <v>154</v>
      </c>
      <c r="L93" s="92"/>
      <c r="O93" s="222"/>
    </row>
    <row r="94" spans="1:15" s="8" customFormat="1" ht="15" customHeight="1">
      <c r="A94" s="210"/>
      <c r="B94" s="66" t="s">
        <v>26</v>
      </c>
      <c r="K94" s="66"/>
      <c r="L94" s="92"/>
      <c r="O94" s="222"/>
    </row>
    <row r="95" spans="1:15" s="8" customFormat="1" ht="15" customHeight="1">
      <c r="A95" s="210"/>
      <c r="B95" s="102">
        <v>120</v>
      </c>
      <c r="C95" s="103" t="s">
        <v>10</v>
      </c>
      <c r="D95" s="103"/>
      <c r="E95" s="103"/>
      <c r="K95" s="214" t="str">
        <f>K90</f>
        <v xml:space="preserve"> @Rs:</v>
      </c>
      <c r="L95" s="92">
        <v>4411.82</v>
      </c>
      <c r="M95" s="8" t="s">
        <v>9</v>
      </c>
      <c r="N95" s="8" t="s">
        <v>31</v>
      </c>
      <c r="O95" s="222">
        <f>B95*L95/100</f>
        <v>5294.1839999999993</v>
      </c>
    </row>
    <row r="96" spans="1:15" s="8" customFormat="1" ht="15" customHeight="1">
      <c r="A96" s="210"/>
      <c r="L96" s="92"/>
      <c r="O96" s="222"/>
    </row>
    <row r="97" spans="1:15" s="8" customFormat="1" ht="15" customHeight="1">
      <c r="A97" s="210">
        <v>10</v>
      </c>
      <c r="B97" s="8" t="s">
        <v>155</v>
      </c>
      <c r="L97" s="92"/>
      <c r="O97" s="222"/>
    </row>
    <row r="98" spans="1:15" s="8" customFormat="1" ht="15" customHeight="1">
      <c r="A98" s="210"/>
      <c r="B98" s="103">
        <v>388</v>
      </c>
      <c r="C98" s="103" t="s">
        <v>10</v>
      </c>
      <c r="D98" s="103"/>
      <c r="E98" s="103"/>
      <c r="K98" s="214" t="str">
        <f>K90</f>
        <v xml:space="preserve"> @Rs:</v>
      </c>
      <c r="L98" s="105">
        <v>2206.6</v>
      </c>
      <c r="M98" s="8" t="s">
        <v>9</v>
      </c>
      <c r="N98" s="8" t="s">
        <v>31</v>
      </c>
      <c r="O98" s="222">
        <f>B98*L98/100</f>
        <v>8561.6080000000002</v>
      </c>
    </row>
    <row r="99" spans="1:15" s="8" customFormat="1" ht="15" customHeight="1">
      <c r="A99" s="210"/>
      <c r="B99" s="210"/>
      <c r="C99" s="210"/>
      <c r="D99" s="210"/>
      <c r="E99" s="210"/>
      <c r="K99" s="116"/>
      <c r="L99" s="92"/>
      <c r="O99" s="222"/>
    </row>
    <row r="100" spans="1:15" s="8" customFormat="1" ht="15" customHeight="1">
      <c r="A100" s="210">
        <v>11</v>
      </c>
      <c r="B100" s="8" t="s">
        <v>156</v>
      </c>
      <c r="C100" s="210"/>
      <c r="D100" s="210"/>
      <c r="E100" s="210"/>
      <c r="K100" s="116"/>
      <c r="L100" s="92"/>
      <c r="O100" s="222"/>
    </row>
    <row r="101" spans="1:15" s="8" customFormat="1" ht="15" customHeight="1">
      <c r="A101" s="210"/>
      <c r="B101" s="103">
        <f>B98</f>
        <v>388</v>
      </c>
      <c r="C101" s="103" t="s">
        <v>10</v>
      </c>
      <c r="D101" s="103"/>
      <c r="E101" s="103"/>
      <c r="K101" s="214" t="str">
        <f>K98</f>
        <v xml:space="preserve"> @Rs:</v>
      </c>
      <c r="L101" s="92">
        <v>2197.52</v>
      </c>
      <c r="M101" s="8" t="s">
        <v>9</v>
      </c>
      <c r="N101" s="8" t="s">
        <v>31</v>
      </c>
      <c r="O101" s="222">
        <f>B101*L101/100</f>
        <v>8526.3775999999998</v>
      </c>
    </row>
    <row r="102" spans="1:15" s="8" customFormat="1" ht="15" customHeight="1">
      <c r="A102" s="210"/>
      <c r="C102" s="210"/>
      <c r="D102" s="210"/>
      <c r="E102" s="210"/>
      <c r="K102" s="116"/>
      <c r="L102" s="92"/>
      <c r="O102" s="222"/>
    </row>
    <row r="103" spans="1:15" s="8" customFormat="1" ht="15" customHeight="1">
      <c r="A103" s="210">
        <v>12</v>
      </c>
      <c r="B103" s="8" t="s">
        <v>157</v>
      </c>
      <c r="L103" s="92"/>
      <c r="O103" s="222"/>
    </row>
    <row r="104" spans="1:15" s="8" customFormat="1" ht="15" customHeight="1">
      <c r="A104" s="210"/>
      <c r="B104" s="103">
        <v>448</v>
      </c>
      <c r="C104" s="103" t="s">
        <v>10</v>
      </c>
      <c r="D104" s="103"/>
      <c r="E104" s="103"/>
      <c r="K104" s="214" t="str">
        <f>K101</f>
        <v xml:space="preserve"> @Rs:</v>
      </c>
      <c r="L104" s="92">
        <v>1213.58</v>
      </c>
      <c r="M104" s="8" t="s">
        <v>9</v>
      </c>
      <c r="N104" s="8" t="s">
        <v>31</v>
      </c>
      <c r="O104" s="222">
        <f>B104*L104/100</f>
        <v>5436.8383999999996</v>
      </c>
    </row>
    <row r="105" spans="1:15" s="8" customFormat="1" ht="15" customHeight="1">
      <c r="A105" s="210"/>
      <c r="L105" s="92"/>
      <c r="O105" s="222"/>
    </row>
    <row r="106" spans="1:15" s="8" customFormat="1" ht="15" customHeight="1">
      <c r="A106" s="219">
        <v>13</v>
      </c>
      <c r="B106" s="8" t="s">
        <v>159</v>
      </c>
      <c r="L106" s="92"/>
      <c r="O106" s="222"/>
    </row>
    <row r="107" spans="1:15" s="8" customFormat="1" ht="15" customHeight="1">
      <c r="A107" s="219"/>
      <c r="B107" s="8" t="s">
        <v>160</v>
      </c>
      <c r="L107" s="92"/>
      <c r="O107" s="222"/>
    </row>
    <row r="108" spans="1:15" s="8" customFormat="1" ht="15" customHeight="1">
      <c r="A108" s="219"/>
      <c r="B108" s="8" t="s">
        <v>161</v>
      </c>
      <c r="L108" s="92"/>
      <c r="O108" s="222"/>
    </row>
    <row r="109" spans="1:15" s="8" customFormat="1" ht="15" customHeight="1">
      <c r="A109" s="210"/>
      <c r="K109" s="66"/>
      <c r="L109" s="92"/>
      <c r="O109" s="222"/>
    </row>
    <row r="110" spans="1:15" s="8" customFormat="1" ht="15" customHeight="1">
      <c r="A110" s="210"/>
      <c r="B110" s="102">
        <v>28</v>
      </c>
      <c r="C110" s="103" t="s">
        <v>10</v>
      </c>
      <c r="D110" s="103"/>
      <c r="E110" s="103"/>
      <c r="K110" s="214" t="str">
        <f>K104</f>
        <v xml:space="preserve"> @Rs:</v>
      </c>
      <c r="L110" s="92">
        <v>726.72</v>
      </c>
      <c r="M110" s="8" t="s">
        <v>162</v>
      </c>
      <c r="N110" s="8" t="s">
        <v>31</v>
      </c>
      <c r="O110" s="222">
        <f>B110*L110</f>
        <v>20348.16</v>
      </c>
    </row>
    <row r="111" spans="1:15" s="8" customFormat="1" ht="15" customHeight="1">
      <c r="A111" s="210"/>
      <c r="B111" s="102"/>
      <c r="C111" s="103"/>
      <c r="D111" s="103"/>
      <c r="E111" s="103"/>
      <c r="K111" s="214"/>
      <c r="L111" s="92"/>
      <c r="O111" s="222"/>
    </row>
    <row r="112" spans="1:15" s="8" customFormat="1" ht="15" customHeight="1">
      <c r="A112" s="219">
        <v>14</v>
      </c>
      <c r="B112" s="8" t="s">
        <v>163</v>
      </c>
      <c r="L112" s="92"/>
      <c r="O112" s="222"/>
    </row>
    <row r="113" spans="1:15" s="8" customFormat="1" ht="15" customHeight="1">
      <c r="A113" s="219"/>
      <c r="B113" s="8" t="s">
        <v>164</v>
      </c>
      <c r="L113" s="92"/>
      <c r="O113" s="222"/>
    </row>
    <row r="114" spans="1:15" s="8" customFormat="1" ht="15" customHeight="1">
      <c r="A114" s="219"/>
      <c r="B114" s="8" t="s">
        <v>165</v>
      </c>
      <c r="L114" s="92"/>
      <c r="O114" s="222"/>
    </row>
    <row r="115" spans="1:15" s="8" customFormat="1" ht="15" customHeight="1">
      <c r="A115" s="210"/>
      <c r="B115" s="215" t="s">
        <v>141</v>
      </c>
      <c r="C115" s="210"/>
      <c r="E115" s="210"/>
      <c r="G115" s="210"/>
      <c r="I115" s="66"/>
      <c r="K115" s="98"/>
      <c r="L115" s="92"/>
      <c r="M115" s="66"/>
      <c r="O115" s="222"/>
    </row>
    <row r="116" spans="1:15" s="8" customFormat="1" ht="15" customHeight="1">
      <c r="A116" s="210"/>
      <c r="B116" s="102">
        <v>2.04</v>
      </c>
      <c r="C116" s="103" t="s">
        <v>11</v>
      </c>
      <c r="D116" s="103"/>
      <c r="E116" s="103"/>
      <c r="K116" s="214" t="s">
        <v>32</v>
      </c>
      <c r="L116" s="92">
        <v>4928.49</v>
      </c>
      <c r="M116" s="8" t="s">
        <v>76</v>
      </c>
      <c r="N116" s="8" t="s">
        <v>31</v>
      </c>
      <c r="O116" s="222">
        <f>B116*L116</f>
        <v>10054.1196</v>
      </c>
    </row>
    <row r="117" spans="1:15" s="8" customFormat="1" ht="15" customHeight="1">
      <c r="A117" s="210"/>
      <c r="L117" s="92"/>
      <c r="O117" s="222"/>
    </row>
    <row r="118" spans="1:15" s="8" customFormat="1" ht="15" customHeight="1">
      <c r="A118" s="210">
        <v>15</v>
      </c>
      <c r="B118" s="8" t="s">
        <v>166</v>
      </c>
      <c r="L118" s="92"/>
      <c r="O118" s="222"/>
    </row>
    <row r="119" spans="1:15" s="8" customFormat="1" ht="15" customHeight="1">
      <c r="A119" s="210"/>
      <c r="B119" s="8" t="s">
        <v>167</v>
      </c>
      <c r="L119" s="92"/>
      <c r="O119" s="222"/>
    </row>
    <row r="120" spans="1:15" s="8" customFormat="1" ht="15" customHeight="1">
      <c r="A120" s="210"/>
      <c r="B120" s="8" t="s">
        <v>168</v>
      </c>
      <c r="G120" s="210"/>
      <c r="K120" s="100"/>
      <c r="L120" s="101"/>
      <c r="O120" s="222"/>
    </row>
    <row r="121" spans="1:15" s="8" customFormat="1" ht="15" customHeight="1">
      <c r="A121" s="210"/>
      <c r="B121" s="102">
        <f>B116</f>
        <v>2.04</v>
      </c>
      <c r="C121" s="103">
        <f>L120</f>
        <v>0</v>
      </c>
      <c r="D121" s="103"/>
      <c r="E121" s="103"/>
      <c r="K121" s="214" t="str">
        <f>K116</f>
        <v xml:space="preserve"> @Rs:</v>
      </c>
      <c r="L121" s="92">
        <v>271.04000000000002</v>
      </c>
      <c r="M121" s="8" t="s">
        <v>76</v>
      </c>
      <c r="N121" s="8" t="s">
        <v>7</v>
      </c>
      <c r="O121" s="222">
        <f>B121*L121</f>
        <v>552.92160000000001</v>
      </c>
    </row>
    <row r="122" spans="1:15" s="8" customFormat="1" ht="15" customHeight="1">
      <c r="A122" s="210"/>
      <c r="B122" s="111"/>
      <c r="C122" s="112"/>
      <c r="D122" s="112"/>
      <c r="E122" s="112"/>
      <c r="K122" s="214"/>
      <c r="L122" s="92"/>
      <c r="O122" s="222"/>
    </row>
    <row r="123" spans="1:15" s="8" customFormat="1" ht="15" customHeight="1">
      <c r="A123" s="210">
        <v>16</v>
      </c>
      <c r="B123" s="8" t="s">
        <v>169</v>
      </c>
      <c r="L123" s="92"/>
      <c r="O123" s="222"/>
    </row>
    <row r="124" spans="1:15" s="8" customFormat="1" ht="15" customHeight="1">
      <c r="A124" s="210"/>
      <c r="B124" s="8" t="s">
        <v>170</v>
      </c>
      <c r="L124" s="92"/>
      <c r="O124" s="222"/>
    </row>
    <row r="125" spans="1:15" s="8" customFormat="1" ht="15" customHeight="1">
      <c r="A125" s="210"/>
      <c r="B125" s="8" t="s">
        <v>171</v>
      </c>
      <c r="L125" s="92"/>
      <c r="O125" s="222"/>
    </row>
    <row r="126" spans="1:15" s="8" customFormat="1" ht="15" customHeight="1">
      <c r="A126" s="210"/>
      <c r="B126" s="215"/>
      <c r="C126" s="210"/>
      <c r="E126" s="210"/>
      <c r="G126" s="210"/>
      <c r="K126" s="98"/>
      <c r="L126" s="92"/>
      <c r="M126" s="66"/>
      <c r="O126" s="222"/>
    </row>
    <row r="127" spans="1:15" s="8" customFormat="1" ht="15" customHeight="1">
      <c r="A127" s="210"/>
      <c r="B127" s="102">
        <v>24</v>
      </c>
      <c r="C127" s="103" t="s">
        <v>10</v>
      </c>
      <c r="D127" s="103"/>
      <c r="E127" s="103"/>
      <c r="K127" s="214" t="s">
        <v>32</v>
      </c>
      <c r="L127" s="92">
        <v>180.5</v>
      </c>
      <c r="M127" s="8" t="s">
        <v>162</v>
      </c>
      <c r="N127" s="8" t="s">
        <v>31</v>
      </c>
      <c r="O127" s="222">
        <f>B127*L127</f>
        <v>4332</v>
      </c>
    </row>
    <row r="128" spans="1:15" s="8" customFormat="1" ht="15" hidden="1" customHeight="1">
      <c r="A128" s="210"/>
      <c r="L128" s="92"/>
      <c r="O128" s="222"/>
    </row>
    <row r="129" spans="1:15" s="8" customFormat="1" ht="15" hidden="1" customHeight="1">
      <c r="A129" s="239"/>
      <c r="B129" s="8" t="s">
        <v>172</v>
      </c>
      <c r="L129" s="92"/>
      <c r="O129" s="222"/>
    </row>
    <row r="130" spans="1:15" s="8" customFormat="1" ht="15" hidden="1" customHeight="1">
      <c r="A130" s="239"/>
      <c r="B130" s="8" t="s">
        <v>173</v>
      </c>
      <c r="L130" s="92"/>
      <c r="O130" s="222"/>
    </row>
    <row r="131" spans="1:15" s="8" customFormat="1" ht="15" hidden="1" customHeight="1">
      <c r="A131" s="239"/>
      <c r="B131" s="8" t="s">
        <v>174</v>
      </c>
      <c r="L131" s="92"/>
      <c r="O131" s="222"/>
    </row>
    <row r="132" spans="1:15" s="8" customFormat="1" ht="15" hidden="1" customHeight="1">
      <c r="A132" s="210"/>
      <c r="B132" s="8" t="s">
        <v>141</v>
      </c>
      <c r="C132" s="8" t="e">
        <f>#REF!</f>
        <v>#REF!</v>
      </c>
      <c r="D132" s="8" t="s">
        <v>4</v>
      </c>
      <c r="E132" s="8" t="e">
        <f>#REF!</f>
        <v>#REF!</v>
      </c>
      <c r="F132" s="8" t="s">
        <v>4</v>
      </c>
      <c r="G132" s="8" t="e">
        <f>#REF!</f>
        <v>#REF!</v>
      </c>
      <c r="J132" s="8" t="s">
        <v>5</v>
      </c>
      <c r="K132" s="8" t="e">
        <f>C132*E132*G132</f>
        <v>#REF!</v>
      </c>
      <c r="L132" s="92" t="s">
        <v>10</v>
      </c>
      <c r="O132" s="222"/>
    </row>
    <row r="133" spans="1:15" s="8" customFormat="1" ht="15" hidden="1" customHeight="1">
      <c r="A133" s="210"/>
      <c r="B133" s="103">
        <v>0</v>
      </c>
      <c r="C133" s="103" t="s">
        <v>10</v>
      </c>
      <c r="D133" s="103"/>
      <c r="E133" s="103"/>
      <c r="K133" s="214" t="str">
        <f>K110</f>
        <v xml:space="preserve"> @Rs:</v>
      </c>
      <c r="L133" s="92">
        <v>90.15</v>
      </c>
      <c r="M133" s="8" t="s">
        <v>162</v>
      </c>
      <c r="N133" s="8" t="s">
        <v>31</v>
      </c>
      <c r="O133" s="222">
        <f>B133*L133</f>
        <v>0</v>
      </c>
    </row>
    <row r="134" spans="1:15" s="8" customFormat="1" ht="15" hidden="1" customHeight="1">
      <c r="A134" s="210"/>
      <c r="L134" s="92"/>
      <c r="O134" s="222"/>
    </row>
    <row r="135" spans="1:15" s="8" customFormat="1" ht="15" hidden="1" customHeight="1">
      <c r="A135" s="219"/>
      <c r="B135" s="8" t="s">
        <v>175</v>
      </c>
      <c r="L135" s="92"/>
      <c r="O135" s="222"/>
    </row>
    <row r="136" spans="1:15" s="8" customFormat="1" ht="15" hidden="1" customHeight="1">
      <c r="A136" s="219"/>
      <c r="B136" s="8" t="s">
        <v>176</v>
      </c>
      <c r="L136" s="92"/>
      <c r="O136" s="222"/>
    </row>
    <row r="137" spans="1:15" s="8" customFormat="1" ht="15" hidden="1" customHeight="1">
      <c r="A137" s="219"/>
      <c r="B137" s="8" t="s">
        <v>177</v>
      </c>
      <c r="L137" s="92"/>
      <c r="O137" s="222"/>
    </row>
    <row r="138" spans="1:15" s="8" customFormat="1" ht="15" hidden="1" customHeight="1">
      <c r="A138" s="210"/>
      <c r="B138" s="40" t="s">
        <v>141</v>
      </c>
      <c r="L138" s="92"/>
      <c r="O138" s="222"/>
    </row>
    <row r="139" spans="1:15" s="8" customFormat="1" ht="15" hidden="1" customHeight="1">
      <c r="A139" s="210"/>
      <c r="B139" s="102">
        <f>B133</f>
        <v>0</v>
      </c>
      <c r="C139" s="103" t="s">
        <v>10</v>
      </c>
      <c r="D139" s="103"/>
      <c r="E139" s="103"/>
      <c r="K139" s="214" t="str">
        <f>K133</f>
        <v xml:space="preserve"> @Rs:</v>
      </c>
      <c r="L139" s="92">
        <v>180.5</v>
      </c>
      <c r="M139" s="8" t="s">
        <v>162</v>
      </c>
      <c r="N139" s="8" t="s">
        <v>31</v>
      </c>
      <c r="O139" s="222">
        <f>B139*L139</f>
        <v>0</v>
      </c>
    </row>
    <row r="140" spans="1:15" s="8" customFormat="1" ht="15" customHeight="1">
      <c r="A140" s="210"/>
      <c r="K140" s="104"/>
      <c r="L140" s="92"/>
      <c r="O140" s="222"/>
    </row>
    <row r="141" spans="1:15" s="8" customFormat="1" ht="15" customHeight="1">
      <c r="A141" s="210">
        <v>17</v>
      </c>
      <c r="B141" s="52" t="s">
        <v>178</v>
      </c>
      <c r="L141" s="92"/>
      <c r="O141" s="222"/>
    </row>
    <row r="142" spans="1:15" s="8" customFormat="1" ht="15" customHeight="1">
      <c r="A142" s="210"/>
      <c r="B142" s="8" t="s">
        <v>179</v>
      </c>
      <c r="L142" s="92"/>
      <c r="O142" s="222"/>
    </row>
    <row r="143" spans="1:15" s="8" customFormat="1" ht="15" customHeight="1">
      <c r="A143" s="210"/>
      <c r="B143" s="8" t="s">
        <v>180</v>
      </c>
      <c r="L143" s="92"/>
      <c r="O143" s="222"/>
    </row>
    <row r="144" spans="1:15" s="8" customFormat="1" ht="15" customHeight="1">
      <c r="A144" s="210"/>
      <c r="B144" s="103">
        <v>104</v>
      </c>
      <c r="C144" s="103" t="s">
        <v>10</v>
      </c>
      <c r="D144" s="103"/>
      <c r="E144" s="103"/>
      <c r="K144" s="214" t="str">
        <f>K139</f>
        <v xml:space="preserve"> @Rs:</v>
      </c>
      <c r="L144" s="92">
        <v>2116.41</v>
      </c>
      <c r="M144" s="8" t="s">
        <v>9</v>
      </c>
      <c r="N144" s="8" t="s">
        <v>31</v>
      </c>
      <c r="O144" s="222">
        <f>B144*L144/100</f>
        <v>2201.0663999999997</v>
      </c>
    </row>
    <row r="145" spans="1:22" s="8" customFormat="1" ht="15" customHeight="1">
      <c r="A145" s="210">
        <v>18</v>
      </c>
      <c r="B145" s="8" t="s">
        <v>181</v>
      </c>
      <c r="L145" s="92"/>
      <c r="O145" s="222"/>
    </row>
    <row r="146" spans="1:22" s="8" customFormat="1" ht="15" hidden="1" customHeight="1">
      <c r="A146" s="210"/>
      <c r="B146" s="8" t="s">
        <v>182</v>
      </c>
      <c r="E146" s="8">
        <f>A100</f>
        <v>11</v>
      </c>
      <c r="K146" s="107">
        <v>0</v>
      </c>
      <c r="L146" s="92" t="s">
        <v>10</v>
      </c>
      <c r="O146" s="222"/>
    </row>
    <row r="147" spans="1:22" s="8" customFormat="1" ht="15" customHeight="1">
      <c r="A147" s="210"/>
      <c r="B147" s="103">
        <v>174</v>
      </c>
      <c r="C147" s="103" t="s">
        <v>10</v>
      </c>
      <c r="D147" s="103"/>
      <c r="E147" s="103"/>
      <c r="K147" s="214" t="str">
        <f>K144</f>
        <v xml:space="preserve"> @Rs:</v>
      </c>
      <c r="L147" s="92">
        <v>829.95</v>
      </c>
      <c r="M147" s="8" t="s">
        <v>9</v>
      </c>
      <c r="N147" s="8" t="s">
        <v>31</v>
      </c>
      <c r="O147" s="222">
        <f>B147*L147/100</f>
        <v>1444.1130000000003</v>
      </c>
    </row>
    <row r="148" spans="1:22" s="8" customFormat="1" ht="15" customHeight="1">
      <c r="A148" s="210">
        <v>19</v>
      </c>
      <c r="B148" s="8" t="s">
        <v>183</v>
      </c>
      <c r="L148" s="92"/>
      <c r="O148" s="222"/>
    </row>
    <row r="149" spans="1:22" s="8" customFormat="1" ht="15" customHeight="1">
      <c r="A149" s="210"/>
      <c r="B149" s="8" t="s">
        <v>182</v>
      </c>
      <c r="K149" s="107"/>
      <c r="L149" s="92"/>
      <c r="O149" s="222"/>
    </row>
    <row r="150" spans="1:22" s="8" customFormat="1" ht="15" customHeight="1">
      <c r="A150" s="210"/>
      <c r="B150" s="103">
        <v>388</v>
      </c>
      <c r="C150" s="103" t="s">
        <v>10</v>
      </c>
      <c r="D150" s="103"/>
      <c r="E150" s="103"/>
      <c r="K150" s="214" t="str">
        <f>K147</f>
        <v xml:space="preserve"> @Rs:</v>
      </c>
      <c r="L150" s="92">
        <v>416.63</v>
      </c>
      <c r="M150" s="8" t="s">
        <v>9</v>
      </c>
      <c r="N150" s="8" t="s">
        <v>31</v>
      </c>
      <c r="O150" s="222">
        <f>B150*L150/100</f>
        <v>1616.5244</v>
      </c>
    </row>
    <row r="151" spans="1:22" s="8" customFormat="1" ht="15" customHeight="1">
      <c r="A151" s="210">
        <v>20</v>
      </c>
      <c r="B151" s="8" t="s">
        <v>184</v>
      </c>
      <c r="L151" s="92"/>
      <c r="O151" s="222"/>
    </row>
    <row r="152" spans="1:22" s="8" customFormat="1" ht="15.75" customHeight="1">
      <c r="A152" s="210"/>
      <c r="B152" s="103">
        <v>836</v>
      </c>
      <c r="C152" s="103" t="s">
        <v>10</v>
      </c>
      <c r="D152" s="103"/>
      <c r="E152" s="103"/>
      <c r="K152" s="214" t="str">
        <f>K147</f>
        <v xml:space="preserve"> @Rs:</v>
      </c>
      <c r="L152" s="105">
        <v>859.9</v>
      </c>
      <c r="M152" s="8" t="s">
        <v>9</v>
      </c>
      <c r="N152" s="8" t="s">
        <v>31</v>
      </c>
      <c r="O152" s="117">
        <f>B152*L152/100</f>
        <v>7188.7640000000001</v>
      </c>
      <c r="R152"/>
      <c r="S152"/>
      <c r="T152"/>
      <c r="U152"/>
      <c r="V152"/>
    </row>
    <row r="153" spans="1:22" s="8" customFormat="1" ht="15" hidden="1" customHeight="1">
      <c r="A153" s="210"/>
      <c r="B153" s="103"/>
      <c r="C153" s="103"/>
      <c r="D153" s="103"/>
      <c r="E153" s="103"/>
      <c r="K153" s="214"/>
      <c r="L153" s="92"/>
      <c r="O153" s="117"/>
      <c r="R153"/>
      <c r="S153"/>
      <c r="T153"/>
      <c r="U153"/>
      <c r="V153"/>
    </row>
    <row r="154" spans="1:22" customFormat="1" ht="12.75" hidden="1">
      <c r="A154" s="209">
        <v>21</v>
      </c>
      <c r="B154" t="s">
        <v>186</v>
      </c>
      <c r="L154" s="5"/>
    </row>
    <row r="155" spans="1:22" customFormat="1" ht="12.75" hidden="1">
      <c r="A155" s="209"/>
      <c r="B155" s="7" t="s">
        <v>187</v>
      </c>
      <c r="L155" s="5"/>
    </row>
    <row r="156" spans="1:22" customFormat="1" ht="12.75" hidden="1">
      <c r="A156" s="209"/>
      <c r="B156">
        <v>0</v>
      </c>
      <c r="C156" t="s">
        <v>75</v>
      </c>
      <c r="K156" s="49" t="s">
        <v>32</v>
      </c>
      <c r="L156" s="18">
        <v>6985</v>
      </c>
      <c r="M156" t="s">
        <v>188</v>
      </c>
      <c r="N156" t="s">
        <v>31</v>
      </c>
      <c r="O156" s="48">
        <f>B156*L156</f>
        <v>0</v>
      </c>
    </row>
    <row r="157" spans="1:22" customFormat="1" ht="12.75" hidden="1">
      <c r="A157" s="209"/>
    </row>
    <row r="158" spans="1:22" customFormat="1" ht="12.75" hidden="1">
      <c r="A158" s="209">
        <v>22</v>
      </c>
      <c r="B158" t="s">
        <v>189</v>
      </c>
    </row>
    <row r="159" spans="1:22" customFormat="1" ht="15.75" hidden="1">
      <c r="A159" s="209"/>
      <c r="B159" s="7" t="s">
        <v>190</v>
      </c>
      <c r="R159" s="8"/>
      <c r="S159" s="8"/>
      <c r="T159" s="8"/>
      <c r="U159" s="8"/>
      <c r="V159" s="8"/>
    </row>
    <row r="160" spans="1:22" customFormat="1" ht="15.75" hidden="1">
      <c r="A160" s="209"/>
      <c r="B160" s="7"/>
      <c r="C160">
        <v>1</v>
      </c>
      <c r="D160" s="7" t="s">
        <v>4</v>
      </c>
      <c r="E160">
        <v>11.5</v>
      </c>
      <c r="F160" s="7" t="s">
        <v>4</v>
      </c>
      <c r="G160">
        <v>14</v>
      </c>
      <c r="H160" s="7" t="s">
        <v>40</v>
      </c>
      <c r="I160">
        <v>112</v>
      </c>
      <c r="J160" s="7" t="s">
        <v>38</v>
      </c>
      <c r="K160" s="2">
        <f>(C160*E160*G160)/I160</f>
        <v>1.4375</v>
      </c>
      <c r="R160" s="8"/>
      <c r="S160" s="8"/>
      <c r="T160" s="8"/>
      <c r="U160" s="8"/>
      <c r="V160" s="8"/>
    </row>
    <row r="161" spans="1:22" customFormat="1" ht="15.75" hidden="1">
      <c r="A161" s="209"/>
      <c r="B161">
        <v>0</v>
      </c>
      <c r="C161" t="s">
        <v>75</v>
      </c>
      <c r="K161" s="49" t="str">
        <f>K156</f>
        <v xml:space="preserve"> @Rs:</v>
      </c>
      <c r="L161" s="18">
        <v>3575</v>
      </c>
      <c r="M161" t="s">
        <v>188</v>
      </c>
      <c r="N161" t="s">
        <v>31</v>
      </c>
      <c r="O161" s="48">
        <f>B161*L161</f>
        <v>0</v>
      </c>
      <c r="R161" s="8"/>
      <c r="S161" s="8"/>
      <c r="T161" s="8"/>
      <c r="U161" s="8"/>
      <c r="V161" s="8"/>
    </row>
    <row r="162" spans="1:22" s="8" customFormat="1" ht="15.75" customHeight="1">
      <c r="A162" s="210"/>
      <c r="L162" s="92"/>
      <c r="M162" s="107" t="s">
        <v>6</v>
      </c>
      <c r="N162" s="107" t="s">
        <v>31</v>
      </c>
      <c r="O162" s="119">
        <f>SUM(O50:O161)</f>
        <v>218286.48651500006</v>
      </c>
    </row>
    <row r="163" spans="1:22" s="8" customFormat="1" ht="15.75" customHeight="1">
      <c r="A163" s="283"/>
      <c r="D163" s="8" t="s">
        <v>508</v>
      </c>
      <c r="E163" s="8" t="s">
        <v>509</v>
      </c>
      <c r="G163" s="327">
        <f>O162</f>
        <v>218286.48651500006</v>
      </c>
      <c r="H163" s="306"/>
      <c r="I163" s="306"/>
      <c r="J163" s="8" t="s">
        <v>4</v>
      </c>
      <c r="K163" s="8">
        <v>2</v>
      </c>
      <c r="L163" s="92"/>
      <c r="M163" s="107"/>
      <c r="N163" s="107" t="s">
        <v>371</v>
      </c>
      <c r="O163" s="119">
        <f>O162*K163</f>
        <v>436572.97303000011</v>
      </c>
    </row>
    <row r="164" spans="1:22" s="136" customFormat="1" ht="15" customHeight="1">
      <c r="A164" s="237"/>
      <c r="B164" s="354" t="s">
        <v>503</v>
      </c>
      <c r="C164" s="354"/>
      <c r="D164" s="354"/>
      <c r="E164" s="354"/>
      <c r="F164" s="354"/>
      <c r="G164" s="354"/>
      <c r="H164" s="354"/>
      <c r="I164" s="354"/>
      <c r="J164" s="354"/>
      <c r="K164" s="354"/>
      <c r="L164" s="354"/>
      <c r="M164" s="354"/>
    </row>
    <row r="165" spans="1:22" customFormat="1" ht="9.75" customHeight="1">
      <c r="A165" s="42"/>
      <c r="B165" s="46"/>
      <c r="C165" s="46"/>
      <c r="D165" s="46"/>
      <c r="E165" s="46"/>
      <c r="K165" s="49"/>
      <c r="L165" s="2"/>
      <c r="O165" s="5"/>
    </row>
    <row r="166" spans="1:22" s="136" customFormat="1" ht="15" customHeight="1">
      <c r="A166" s="219">
        <v>1</v>
      </c>
      <c r="B166" s="138" t="s">
        <v>266</v>
      </c>
      <c r="C166" s="138"/>
      <c r="D166" s="138"/>
      <c r="E166" s="138"/>
      <c r="F166" s="138"/>
      <c r="G166" s="138"/>
      <c r="H166" s="138"/>
      <c r="I166" s="138"/>
      <c r="J166" s="138"/>
      <c r="K166" s="138"/>
      <c r="L166" s="138"/>
      <c r="M166" s="138"/>
    </row>
    <row r="167" spans="1:22" s="136" customFormat="1" ht="15" customHeight="1">
      <c r="A167" s="219"/>
      <c r="B167" s="147" t="s">
        <v>267</v>
      </c>
      <c r="C167" s="138"/>
      <c r="D167" s="138"/>
      <c r="E167" s="138"/>
      <c r="F167" s="138"/>
      <c r="G167" s="138"/>
      <c r="H167" s="138"/>
      <c r="I167" s="138"/>
      <c r="J167" s="138"/>
      <c r="K167" s="138"/>
      <c r="L167" s="138"/>
      <c r="M167" s="138"/>
    </row>
    <row r="168" spans="1:22" s="136" customFormat="1" ht="15" customHeight="1">
      <c r="A168" s="219"/>
      <c r="B168" s="138" t="s">
        <v>268</v>
      </c>
      <c r="C168" s="138"/>
      <c r="D168" s="138"/>
      <c r="E168" s="138"/>
      <c r="F168" s="138"/>
      <c r="G168" s="138"/>
      <c r="H168" s="138"/>
      <c r="I168" s="138"/>
      <c r="J168" s="138"/>
      <c r="K168" s="138"/>
      <c r="L168" s="138"/>
      <c r="M168" s="138"/>
    </row>
    <row r="169" spans="1:22" s="136" customFormat="1" ht="15" customHeight="1">
      <c r="A169" s="219"/>
      <c r="B169" s="138" t="s">
        <v>269</v>
      </c>
      <c r="C169" s="138"/>
      <c r="D169" s="138"/>
      <c r="E169" s="138"/>
      <c r="F169" s="138"/>
      <c r="G169" s="138"/>
      <c r="H169" s="138"/>
      <c r="I169" s="138"/>
      <c r="J169" s="138"/>
      <c r="K169" s="138"/>
      <c r="L169" s="138"/>
      <c r="M169" s="138"/>
    </row>
    <row r="170" spans="1:22" s="136" customFormat="1" ht="15" customHeight="1">
      <c r="A170" s="219"/>
      <c r="B170" s="138" t="s">
        <v>270</v>
      </c>
      <c r="C170" s="138"/>
      <c r="D170" s="138"/>
      <c r="E170" s="138"/>
      <c r="F170" s="138"/>
      <c r="G170" s="138"/>
      <c r="H170" s="138"/>
      <c r="I170" s="138"/>
      <c r="J170" s="138"/>
      <c r="K170" s="138"/>
      <c r="L170" s="138"/>
      <c r="M170" s="138"/>
    </row>
    <row r="171" spans="1:22" s="136" customFormat="1" ht="15" customHeight="1">
      <c r="A171" s="237"/>
      <c r="B171" s="355">
        <v>24450</v>
      </c>
      <c r="C171" s="355"/>
      <c r="D171" s="138" t="s">
        <v>8</v>
      </c>
      <c r="E171" s="138"/>
      <c r="F171" s="138"/>
      <c r="G171" s="138"/>
      <c r="H171" s="138"/>
      <c r="I171" s="138"/>
      <c r="J171" s="138"/>
      <c r="K171" s="139" t="s">
        <v>13</v>
      </c>
      <c r="L171" s="138">
        <v>3600</v>
      </c>
      <c r="M171" s="138" t="s">
        <v>3</v>
      </c>
      <c r="N171" s="139" t="s">
        <v>7</v>
      </c>
      <c r="O171" s="144">
        <f>L171*B171/1000</f>
        <v>88020</v>
      </c>
    </row>
    <row r="172" spans="1:22" s="136" customFormat="1" ht="15" customHeight="1">
      <c r="A172" s="237">
        <v>2</v>
      </c>
      <c r="B172" s="138" t="s">
        <v>328</v>
      </c>
      <c r="C172" s="138"/>
      <c r="D172" s="138"/>
      <c r="E172" s="138"/>
      <c r="F172" s="138"/>
      <c r="G172" s="138"/>
      <c r="H172" s="138"/>
      <c r="I172" s="138"/>
      <c r="J172" s="138"/>
      <c r="K172" s="138"/>
      <c r="L172" s="138"/>
      <c r="M172" s="138"/>
      <c r="O172" s="145"/>
    </row>
    <row r="173" spans="1:22" s="136" customFormat="1" ht="15" customHeight="1">
      <c r="A173" s="237"/>
      <c r="B173" s="138" t="s">
        <v>329</v>
      </c>
      <c r="C173" s="138"/>
      <c r="D173" s="138"/>
      <c r="E173" s="138"/>
      <c r="F173" s="138"/>
      <c r="G173" s="138"/>
      <c r="H173" s="138"/>
      <c r="I173" s="138"/>
      <c r="J173" s="138"/>
      <c r="K173" s="138"/>
      <c r="L173" s="138"/>
      <c r="M173" s="138"/>
      <c r="O173" s="145"/>
    </row>
    <row r="174" spans="1:22" s="136" customFormat="1" ht="15" customHeight="1">
      <c r="A174" s="237"/>
      <c r="B174" s="138" t="s">
        <v>330</v>
      </c>
      <c r="C174" s="138"/>
      <c r="D174" s="138"/>
      <c r="E174" s="138"/>
      <c r="F174" s="138"/>
      <c r="G174" s="138"/>
      <c r="H174" s="138"/>
      <c r="I174" s="138"/>
      <c r="J174" s="138"/>
      <c r="K174" s="138"/>
      <c r="L174" s="138"/>
      <c r="M174" s="138"/>
      <c r="O174" s="145"/>
    </row>
    <row r="175" spans="1:22" s="136" customFormat="1" ht="15" customHeight="1">
      <c r="A175" s="237"/>
      <c r="B175" s="138" t="s">
        <v>331</v>
      </c>
      <c r="C175" s="138"/>
      <c r="D175" s="138"/>
      <c r="E175" s="138"/>
      <c r="F175" s="138"/>
      <c r="G175" s="138"/>
      <c r="H175" s="138"/>
      <c r="I175" s="138"/>
      <c r="J175" s="138"/>
      <c r="K175" s="138"/>
      <c r="L175" s="138"/>
      <c r="M175" s="138"/>
      <c r="O175" s="145"/>
    </row>
    <row r="176" spans="1:22" s="136" customFormat="1" ht="15" customHeight="1">
      <c r="A176" s="237"/>
      <c r="B176" s="138" t="s">
        <v>384</v>
      </c>
      <c r="C176" s="146">
        <v>2575</v>
      </c>
      <c r="D176" s="138" t="s">
        <v>12</v>
      </c>
      <c r="E176" s="138"/>
      <c r="F176" s="138"/>
      <c r="G176" s="138"/>
      <c r="H176" s="138"/>
      <c r="I176" s="138"/>
      <c r="J176" s="138"/>
      <c r="K176" s="139" t="s">
        <v>13</v>
      </c>
      <c r="L176" s="140">
        <v>148</v>
      </c>
      <c r="M176" s="138" t="s">
        <v>25</v>
      </c>
      <c r="N176" s="139" t="s">
        <v>31</v>
      </c>
      <c r="O176" s="144">
        <f t="shared" ref="O176:O177" si="0">L176*C176</f>
        <v>381100</v>
      </c>
    </row>
    <row r="177" spans="1:15" s="136" customFormat="1" ht="15" customHeight="1">
      <c r="A177" s="237"/>
      <c r="B177" s="138" t="s">
        <v>478</v>
      </c>
      <c r="C177" s="146">
        <v>1500</v>
      </c>
      <c r="D177" s="138" t="s">
        <v>12</v>
      </c>
      <c r="E177" s="138"/>
      <c r="F177" s="138"/>
      <c r="G177" s="138"/>
      <c r="H177" s="138"/>
      <c r="I177" s="138"/>
      <c r="J177" s="138"/>
      <c r="K177" s="139" t="s">
        <v>13</v>
      </c>
      <c r="L177" s="140">
        <v>224</v>
      </c>
      <c r="M177" s="138" t="s">
        <v>25</v>
      </c>
      <c r="N177" s="139" t="s">
        <v>31</v>
      </c>
      <c r="O177" s="144">
        <f t="shared" si="0"/>
        <v>336000</v>
      </c>
    </row>
    <row r="178" spans="1:15" s="136" customFormat="1" ht="15" customHeight="1">
      <c r="A178" s="237"/>
      <c r="B178" s="138"/>
      <c r="C178" s="218"/>
      <c r="D178" s="138"/>
      <c r="E178" s="138"/>
      <c r="F178" s="138"/>
      <c r="G178" s="138"/>
      <c r="H178" s="138"/>
      <c r="I178" s="138"/>
      <c r="J178" s="138"/>
      <c r="K178" s="139"/>
      <c r="L178" s="148"/>
      <c r="M178" s="138"/>
      <c r="N178" s="139"/>
      <c r="O178" s="144"/>
    </row>
    <row r="179" spans="1:15" s="136" customFormat="1" ht="15" customHeight="1">
      <c r="A179" s="237">
        <v>3</v>
      </c>
      <c r="B179" s="138" t="s">
        <v>333</v>
      </c>
      <c r="C179" s="218"/>
      <c r="D179" s="138"/>
      <c r="E179" s="138"/>
      <c r="F179" s="138"/>
      <c r="G179" s="138"/>
      <c r="H179" s="138"/>
      <c r="I179" s="138"/>
      <c r="J179" s="138"/>
      <c r="K179" s="139"/>
      <c r="L179" s="138"/>
      <c r="M179" s="138"/>
      <c r="N179" s="139"/>
      <c r="O179" s="144"/>
    </row>
    <row r="180" spans="1:15" s="136" customFormat="1" ht="15" customHeight="1">
      <c r="A180" s="237"/>
      <c r="B180" s="138" t="s">
        <v>334</v>
      </c>
      <c r="C180" s="218"/>
      <c r="D180" s="138"/>
      <c r="E180" s="138"/>
      <c r="F180" s="138"/>
      <c r="G180" s="138"/>
      <c r="H180" s="138"/>
      <c r="I180" s="138"/>
      <c r="J180" s="138"/>
      <c r="K180" s="139"/>
      <c r="L180" s="138"/>
      <c r="M180" s="138"/>
      <c r="N180" s="139"/>
      <c r="O180" s="144"/>
    </row>
    <row r="181" spans="1:15" s="136" customFormat="1" ht="15" customHeight="1">
      <c r="A181" s="237"/>
      <c r="B181" s="138" t="str">
        <f>B176</f>
        <v xml:space="preserve">3"dia </v>
      </c>
      <c r="C181" s="218">
        <v>20</v>
      </c>
      <c r="D181" s="138" t="s">
        <v>46</v>
      </c>
      <c r="E181" s="138"/>
      <c r="F181" s="138"/>
      <c r="G181" s="138"/>
      <c r="H181" s="138"/>
      <c r="I181" s="138"/>
      <c r="J181" s="138"/>
      <c r="K181" s="139" t="str">
        <f>K176</f>
        <v xml:space="preserve"> @Rs</v>
      </c>
      <c r="L181" s="138">
        <v>894</v>
      </c>
      <c r="M181" s="138" t="s">
        <v>272</v>
      </c>
      <c r="N181" s="139" t="str">
        <f>N176</f>
        <v>Rs:</v>
      </c>
      <c r="O181" s="144">
        <f>C181*L181</f>
        <v>17880</v>
      </c>
    </row>
    <row r="182" spans="1:15" s="136" customFormat="1" ht="15" customHeight="1">
      <c r="A182" s="237"/>
      <c r="B182" s="138" t="str">
        <f>B177</f>
        <v xml:space="preserve">4"dfia </v>
      </c>
      <c r="C182" s="218">
        <v>2</v>
      </c>
      <c r="D182" s="138" t="s">
        <v>46</v>
      </c>
      <c r="E182" s="138"/>
      <c r="F182" s="138"/>
      <c r="G182" s="138"/>
      <c r="H182" s="138"/>
      <c r="I182" s="138"/>
      <c r="J182" s="138"/>
      <c r="K182" s="139" t="str">
        <f>K177</f>
        <v xml:space="preserve"> @Rs</v>
      </c>
      <c r="L182" s="138">
        <v>1324</v>
      </c>
      <c r="M182" s="138" t="s">
        <v>272</v>
      </c>
      <c r="N182" s="139" t="str">
        <f>N177</f>
        <v>Rs:</v>
      </c>
      <c r="O182" s="144">
        <f t="shared" ref="O182" si="1">L182*C182</f>
        <v>2648</v>
      </c>
    </row>
    <row r="183" spans="1:15" s="136" customFormat="1" ht="15" customHeight="1">
      <c r="A183" s="237"/>
      <c r="B183" s="138"/>
      <c r="C183" s="225"/>
      <c r="D183" s="138"/>
      <c r="E183" s="138"/>
      <c r="F183" s="138"/>
      <c r="G183" s="138"/>
      <c r="H183" s="138"/>
      <c r="I183" s="138"/>
      <c r="J183" s="138"/>
      <c r="K183" s="139"/>
      <c r="L183" s="138"/>
      <c r="M183" s="138"/>
      <c r="N183" s="139"/>
      <c r="O183" s="144"/>
    </row>
    <row r="184" spans="1:15" s="136" customFormat="1" ht="15" customHeight="1">
      <c r="A184" s="237">
        <v>4</v>
      </c>
      <c r="B184" s="138" t="s">
        <v>335</v>
      </c>
      <c r="C184" s="218"/>
      <c r="D184" s="138"/>
      <c r="E184" s="138"/>
      <c r="F184" s="138"/>
      <c r="G184" s="138"/>
      <c r="H184" s="138"/>
      <c r="I184" s="138"/>
      <c r="J184" s="138"/>
      <c r="K184" s="139"/>
      <c r="L184" s="138"/>
      <c r="M184" s="138"/>
      <c r="N184" s="139"/>
      <c r="O184" s="144"/>
    </row>
    <row r="185" spans="1:15" s="136" customFormat="1" ht="15" customHeight="1">
      <c r="A185" s="237"/>
      <c r="B185" s="138" t="str">
        <f>B181</f>
        <v xml:space="preserve">3"dia </v>
      </c>
      <c r="C185" s="182">
        <v>30</v>
      </c>
      <c r="D185" s="138" t="s">
        <v>46</v>
      </c>
      <c r="E185" s="138"/>
      <c r="F185" s="138"/>
      <c r="G185" s="138"/>
      <c r="H185" s="138"/>
      <c r="I185" s="138"/>
      <c r="J185" s="138"/>
      <c r="K185" s="139" t="s">
        <v>32</v>
      </c>
      <c r="L185" s="140">
        <v>1118</v>
      </c>
      <c r="M185" s="138" t="s">
        <v>272</v>
      </c>
      <c r="N185" s="139" t="s">
        <v>31</v>
      </c>
      <c r="O185" s="144">
        <f t="shared" ref="O185:O186" si="2">L185*C185</f>
        <v>33540</v>
      </c>
    </row>
    <row r="186" spans="1:15" s="136" customFormat="1" ht="15" customHeight="1">
      <c r="A186" s="237"/>
      <c r="B186" s="138" t="str">
        <f>B182</f>
        <v xml:space="preserve">4"dfia </v>
      </c>
      <c r="C186" s="182">
        <v>4</v>
      </c>
      <c r="D186" s="138" t="s">
        <v>46</v>
      </c>
      <c r="E186" s="138"/>
      <c r="F186" s="138"/>
      <c r="G186" s="138"/>
      <c r="H186" s="138"/>
      <c r="I186" s="138"/>
      <c r="J186" s="138"/>
      <c r="K186" s="139" t="s">
        <v>32</v>
      </c>
      <c r="L186" s="140">
        <v>1655</v>
      </c>
      <c r="M186" s="138" t="s">
        <v>272</v>
      </c>
      <c r="N186" s="139" t="s">
        <v>31</v>
      </c>
      <c r="O186" s="144">
        <f t="shared" si="2"/>
        <v>6620</v>
      </c>
    </row>
    <row r="187" spans="1:15" s="136" customFormat="1" ht="15.75" customHeight="1">
      <c r="A187" s="237"/>
      <c r="B187" s="138"/>
      <c r="C187" s="218"/>
      <c r="D187" s="138"/>
      <c r="E187" s="138"/>
      <c r="F187" s="138"/>
      <c r="G187" s="138"/>
      <c r="H187" s="138"/>
      <c r="I187" s="138"/>
      <c r="J187" s="138"/>
      <c r="K187" s="139"/>
      <c r="L187" s="140"/>
      <c r="M187" s="138"/>
      <c r="N187" s="139"/>
      <c r="O187" s="144"/>
    </row>
    <row r="188" spans="1:15" s="136" customFormat="1" ht="15" customHeight="1">
      <c r="A188" s="237">
        <v>4</v>
      </c>
      <c r="B188" s="138" t="s">
        <v>373</v>
      </c>
      <c r="C188" s="218"/>
      <c r="D188" s="138"/>
      <c r="E188" s="138"/>
      <c r="F188" s="138"/>
      <c r="G188" s="138"/>
      <c r="H188" s="138"/>
      <c r="I188" s="138"/>
      <c r="J188" s="138"/>
      <c r="K188" s="139"/>
      <c r="L188" s="138"/>
      <c r="M188" s="138"/>
      <c r="N188" s="139"/>
      <c r="O188" s="144"/>
    </row>
    <row r="189" spans="1:15" s="136" customFormat="1" ht="15" customHeight="1">
      <c r="A189" s="237"/>
      <c r="B189" s="138" t="s">
        <v>378</v>
      </c>
      <c r="C189" s="218"/>
      <c r="D189" s="138"/>
      <c r="E189" s="138"/>
      <c r="F189" s="138"/>
      <c r="G189" s="138"/>
      <c r="H189" s="138"/>
      <c r="I189" s="138"/>
      <c r="J189" s="138"/>
      <c r="K189" s="139"/>
      <c r="L189" s="138"/>
      <c r="M189" s="138"/>
      <c r="N189" s="139"/>
      <c r="O189" s="144"/>
    </row>
    <row r="190" spans="1:15" s="136" customFormat="1" ht="15" customHeight="1">
      <c r="A190" s="237"/>
      <c r="B190" s="138" t="s">
        <v>374</v>
      </c>
      <c r="C190" s="182">
        <v>8</v>
      </c>
      <c r="D190" s="138" t="s">
        <v>46</v>
      </c>
      <c r="E190" s="138"/>
      <c r="F190" s="138"/>
      <c r="G190" s="138"/>
      <c r="H190" s="138"/>
      <c r="I190" s="138"/>
      <c r="J190" s="138"/>
      <c r="K190" s="139" t="str">
        <f>K182</f>
        <v xml:space="preserve"> @Rs</v>
      </c>
      <c r="L190" s="138">
        <v>1676</v>
      </c>
      <c r="M190" s="138" t="s">
        <v>272</v>
      </c>
      <c r="N190" s="139" t="str">
        <f>N182</f>
        <v>Rs:</v>
      </c>
      <c r="O190" s="144">
        <f>C190*L190</f>
        <v>13408</v>
      </c>
    </row>
    <row r="191" spans="1:15" s="136" customFormat="1" ht="15" customHeight="1">
      <c r="A191" s="237"/>
      <c r="B191" s="138" t="s">
        <v>376</v>
      </c>
      <c r="C191" s="182">
        <v>2</v>
      </c>
      <c r="D191" s="138" t="s">
        <v>46</v>
      </c>
      <c r="E191" s="138"/>
      <c r="F191" s="138"/>
      <c r="G191" s="138"/>
      <c r="H191" s="138"/>
      <c r="I191" s="138"/>
      <c r="J191" s="183" t="s">
        <v>377</v>
      </c>
      <c r="K191" s="63" t="s">
        <v>7</v>
      </c>
      <c r="L191" s="138">
        <v>2483</v>
      </c>
      <c r="M191" s="138" t="s">
        <v>272</v>
      </c>
      <c r="N191" s="139" t="s">
        <v>7</v>
      </c>
      <c r="O191" s="144">
        <f t="shared" ref="O191" si="3">L191*C191</f>
        <v>4966</v>
      </c>
    </row>
    <row r="192" spans="1:15" s="136" customFormat="1" ht="15" customHeight="1">
      <c r="A192" s="237"/>
      <c r="B192" s="138" t="s">
        <v>379</v>
      </c>
      <c r="C192" s="182"/>
      <c r="D192" s="138"/>
      <c r="E192" s="138"/>
      <c r="F192" s="138"/>
      <c r="G192" s="138"/>
      <c r="H192" s="138"/>
      <c r="I192" s="138"/>
      <c r="J192" s="183"/>
      <c r="K192" s="63"/>
      <c r="L192" s="138"/>
      <c r="M192" s="138"/>
      <c r="N192" s="139"/>
      <c r="O192" s="144"/>
    </row>
    <row r="193" spans="1:15" s="136" customFormat="1" ht="15" customHeight="1">
      <c r="A193" s="237"/>
      <c r="B193" s="138" t="s">
        <v>375</v>
      </c>
      <c r="C193" s="182">
        <v>3</v>
      </c>
      <c r="D193" s="138" t="s">
        <v>46</v>
      </c>
      <c r="E193" s="138"/>
      <c r="F193" s="138"/>
      <c r="G193" s="138"/>
      <c r="H193" s="138"/>
      <c r="I193" s="138"/>
      <c r="J193" s="183" t="s">
        <v>377</v>
      </c>
      <c r="K193" s="63" t="s">
        <v>7</v>
      </c>
      <c r="L193" s="138">
        <v>3754</v>
      </c>
      <c r="M193" s="138" t="s">
        <v>272</v>
      </c>
      <c r="N193" s="139" t="s">
        <v>7</v>
      </c>
      <c r="O193" s="144">
        <f t="shared" ref="O193" si="4">L193*C193</f>
        <v>11262</v>
      </c>
    </row>
    <row r="194" spans="1:15" s="136" customFormat="1" ht="15" customHeight="1">
      <c r="A194" s="237"/>
      <c r="B194" s="138"/>
      <c r="C194" s="218"/>
      <c r="D194" s="138"/>
      <c r="E194" s="138"/>
      <c r="F194" s="138"/>
      <c r="G194" s="138"/>
      <c r="H194" s="138"/>
      <c r="I194" s="138"/>
      <c r="J194" s="138"/>
      <c r="K194" s="139"/>
      <c r="L194" s="140"/>
      <c r="M194" s="138"/>
      <c r="N194" s="139"/>
      <c r="O194" s="144"/>
    </row>
    <row r="195" spans="1:15" s="136" customFormat="1" ht="15" customHeight="1">
      <c r="A195" s="237">
        <v>5</v>
      </c>
      <c r="B195" s="138" t="s">
        <v>336</v>
      </c>
      <c r="C195" s="218"/>
      <c r="D195" s="138"/>
      <c r="E195" s="138"/>
      <c r="F195" s="138"/>
      <c r="G195" s="138"/>
      <c r="H195" s="138"/>
      <c r="I195" s="138"/>
      <c r="J195" s="138"/>
      <c r="K195" s="139"/>
      <c r="L195" s="140"/>
      <c r="M195" s="138"/>
      <c r="N195" s="139"/>
      <c r="O195" s="144"/>
    </row>
    <row r="196" spans="1:15" s="136" customFormat="1" ht="15" customHeight="1">
      <c r="A196" s="217"/>
      <c r="B196" s="152" t="str">
        <f>B185</f>
        <v xml:space="preserve">3"dia </v>
      </c>
      <c r="C196" s="152">
        <v>50</v>
      </c>
      <c r="D196" s="138" t="s">
        <v>272</v>
      </c>
      <c r="E196" s="138"/>
      <c r="F196" s="138"/>
      <c r="G196" s="138"/>
      <c r="H196" s="138"/>
      <c r="I196" s="138"/>
      <c r="J196" s="138"/>
      <c r="K196" s="139" t="s">
        <v>13</v>
      </c>
      <c r="L196" s="140">
        <v>800</v>
      </c>
      <c r="M196" s="138" t="s">
        <v>272</v>
      </c>
      <c r="N196" s="139" t="s">
        <v>31</v>
      </c>
      <c r="O196" s="144">
        <f t="shared" ref="O196:O197" si="5">C196*L196</f>
        <v>40000</v>
      </c>
    </row>
    <row r="197" spans="1:15" s="136" customFormat="1" ht="15" customHeight="1">
      <c r="A197" s="217"/>
      <c r="B197" s="152" t="str">
        <f>B186</f>
        <v xml:space="preserve">4"dfia </v>
      </c>
      <c r="C197" s="152">
        <v>10</v>
      </c>
      <c r="D197" s="138" t="s">
        <v>272</v>
      </c>
      <c r="E197" s="138"/>
      <c r="F197" s="138"/>
      <c r="G197" s="138"/>
      <c r="H197" s="138"/>
      <c r="I197" s="138"/>
      <c r="J197" s="138"/>
      <c r="K197" s="139" t="s">
        <v>13</v>
      </c>
      <c r="L197" s="140">
        <v>1000</v>
      </c>
      <c r="M197" s="138" t="s">
        <v>272</v>
      </c>
      <c r="N197" s="139" t="s">
        <v>31</v>
      </c>
      <c r="O197" s="144">
        <f t="shared" si="5"/>
        <v>10000</v>
      </c>
    </row>
    <row r="198" spans="1:15" s="149" customFormat="1" ht="15" customHeight="1">
      <c r="A198" s="219"/>
      <c r="B198" s="138"/>
      <c r="C198" s="218"/>
      <c r="D198" s="138"/>
      <c r="E198" s="139"/>
      <c r="F198" s="138"/>
      <c r="G198" s="219"/>
      <c r="H198" s="139"/>
      <c r="I198" s="144"/>
    </row>
    <row r="199" spans="1:15" s="136" customFormat="1" ht="15" customHeight="1">
      <c r="A199" s="237">
        <v>6</v>
      </c>
      <c r="B199" s="138" t="s">
        <v>273</v>
      </c>
      <c r="C199" s="218"/>
      <c r="D199" s="138"/>
      <c r="E199" s="138"/>
      <c r="F199" s="138"/>
      <c r="G199" s="138"/>
      <c r="H199" s="138"/>
      <c r="I199" s="138"/>
      <c r="J199" s="138"/>
      <c r="K199" s="139"/>
      <c r="L199" s="140"/>
      <c r="M199" s="138"/>
      <c r="N199" s="139"/>
      <c r="O199" s="144"/>
    </row>
    <row r="200" spans="1:15" s="136" customFormat="1" ht="15" customHeight="1">
      <c r="A200" s="237"/>
      <c r="B200" s="138" t="s">
        <v>274</v>
      </c>
      <c r="C200" s="218"/>
      <c r="D200" s="138"/>
      <c r="E200" s="138"/>
      <c r="F200" s="138"/>
      <c r="G200" s="138"/>
      <c r="H200" s="138"/>
      <c r="I200" s="138"/>
      <c r="J200" s="138"/>
      <c r="K200" s="139"/>
      <c r="L200" s="140"/>
      <c r="M200" s="138"/>
      <c r="N200" s="139"/>
      <c r="O200" s="144"/>
    </row>
    <row r="201" spans="1:15" s="136" customFormat="1" ht="15" customHeight="1">
      <c r="A201" s="237"/>
      <c r="B201" s="355"/>
      <c r="C201" s="355"/>
      <c r="D201" s="138"/>
      <c r="E201" s="138"/>
      <c r="F201" s="150"/>
      <c r="G201" s="138"/>
      <c r="H201" s="138"/>
      <c r="I201" s="138"/>
      <c r="J201" s="138"/>
      <c r="K201" s="139"/>
      <c r="L201" s="355"/>
      <c r="M201" s="355"/>
      <c r="N201" s="139"/>
      <c r="O201" s="144"/>
    </row>
    <row r="202" spans="1:15" s="136" customFormat="1" ht="15" customHeight="1">
      <c r="A202" s="237"/>
      <c r="B202" s="363">
        <v>22005</v>
      </c>
      <c r="C202" s="363"/>
      <c r="D202" s="140" t="s">
        <v>8</v>
      </c>
      <c r="E202" s="138"/>
      <c r="F202" s="138"/>
      <c r="G202" s="138"/>
      <c r="H202" s="138"/>
      <c r="I202" s="138"/>
      <c r="J202" s="138"/>
      <c r="K202" s="139" t="s">
        <v>32</v>
      </c>
      <c r="L202" s="140">
        <v>2760</v>
      </c>
      <c r="M202" s="138" t="s">
        <v>3</v>
      </c>
      <c r="N202" s="139" t="s">
        <v>31</v>
      </c>
      <c r="O202" s="144">
        <f>L202*B202/1000</f>
        <v>60733.8</v>
      </c>
    </row>
    <row r="203" spans="1:15" s="136" customFormat="1" ht="15" customHeight="1">
      <c r="A203" s="237"/>
      <c r="B203" s="138"/>
      <c r="C203" s="218"/>
      <c r="D203" s="138"/>
      <c r="E203" s="138"/>
      <c r="F203" s="138"/>
      <c r="G203" s="138"/>
      <c r="H203" s="138"/>
      <c r="I203" s="138"/>
      <c r="J203" s="138"/>
      <c r="K203" s="139"/>
      <c r="L203" s="140"/>
      <c r="M203" s="138"/>
      <c r="N203" s="141" t="s">
        <v>7</v>
      </c>
      <c r="O203" s="142">
        <f>SUM(O165:O202)</f>
        <v>1006177.8</v>
      </c>
    </row>
    <row r="204" spans="1:15" s="136" customFormat="1" ht="15" customHeight="1">
      <c r="B204" s="354" t="s">
        <v>504</v>
      </c>
      <c r="C204" s="354"/>
      <c r="D204" s="354"/>
      <c r="E204" s="354"/>
      <c r="F204" s="354"/>
      <c r="G204" s="354"/>
      <c r="H204" s="354"/>
      <c r="I204" s="354"/>
      <c r="J204" s="354"/>
      <c r="K204" s="354"/>
      <c r="L204" s="354"/>
      <c r="M204" s="354"/>
    </row>
    <row r="205" spans="1:15" customFormat="1" ht="9.75" customHeight="1">
      <c r="A205" s="42"/>
      <c r="B205" s="46"/>
      <c r="C205" s="46"/>
      <c r="D205" s="46"/>
      <c r="E205" s="46"/>
      <c r="K205" s="49"/>
      <c r="L205" s="2"/>
      <c r="O205" s="5"/>
    </row>
    <row r="206" spans="1:15" s="136" customFormat="1" ht="15" customHeight="1">
      <c r="A206" s="219">
        <v>1</v>
      </c>
      <c r="B206" s="138" t="s">
        <v>266</v>
      </c>
      <c r="C206" s="138"/>
      <c r="D206" s="138"/>
      <c r="E206" s="138"/>
      <c r="F206" s="138"/>
      <c r="G206" s="138"/>
      <c r="H206" s="138"/>
      <c r="I206" s="138"/>
      <c r="J206" s="138"/>
      <c r="K206" s="138"/>
      <c r="L206" s="138"/>
      <c r="M206" s="138"/>
    </row>
    <row r="207" spans="1:15" s="136" customFormat="1" ht="15" customHeight="1">
      <c r="A207" s="219"/>
      <c r="B207" s="147" t="s">
        <v>267</v>
      </c>
      <c r="C207" s="138"/>
      <c r="D207" s="138"/>
      <c r="E207" s="138"/>
      <c r="F207" s="138"/>
      <c r="G207" s="138"/>
      <c r="H207" s="138"/>
      <c r="I207" s="138"/>
      <c r="J207" s="138"/>
      <c r="K207" s="138"/>
      <c r="L207" s="138"/>
      <c r="M207" s="138"/>
    </row>
    <row r="208" spans="1:15" s="136" customFormat="1" ht="15" customHeight="1">
      <c r="A208" s="219"/>
      <c r="B208" s="138" t="s">
        <v>268</v>
      </c>
      <c r="C208" s="138"/>
      <c r="D208" s="138"/>
      <c r="E208" s="138"/>
      <c r="F208" s="138"/>
      <c r="G208" s="138"/>
      <c r="H208" s="138"/>
      <c r="I208" s="138"/>
      <c r="J208" s="138"/>
      <c r="K208" s="138"/>
      <c r="L208" s="138"/>
      <c r="M208" s="138"/>
    </row>
    <row r="209" spans="1:15" s="136" customFormat="1" ht="15" customHeight="1">
      <c r="A209" s="219"/>
      <c r="B209" s="138" t="s">
        <v>269</v>
      </c>
      <c r="C209" s="138"/>
      <c r="D209" s="138"/>
      <c r="E209" s="138"/>
      <c r="F209" s="138"/>
      <c r="G209" s="138"/>
      <c r="H209" s="138"/>
      <c r="I209" s="138"/>
      <c r="J209" s="138"/>
      <c r="K209" s="138"/>
      <c r="L209" s="138"/>
      <c r="M209" s="138"/>
    </row>
    <row r="210" spans="1:15" s="136" customFormat="1" ht="15" customHeight="1">
      <c r="A210" s="219"/>
      <c r="B210" s="138" t="s">
        <v>270</v>
      </c>
      <c r="C210" s="138"/>
      <c r="D210" s="138"/>
      <c r="E210" s="138"/>
      <c r="F210" s="138"/>
      <c r="G210" s="138"/>
      <c r="H210" s="138"/>
      <c r="I210" s="138"/>
      <c r="J210" s="138"/>
      <c r="K210" s="138"/>
      <c r="L210" s="138"/>
      <c r="M210" s="138"/>
    </row>
    <row r="211" spans="1:15" s="136" customFormat="1" ht="21" customHeight="1">
      <c r="B211" s="138" t="s">
        <v>332</v>
      </c>
      <c r="C211" s="138"/>
      <c r="D211" s="138"/>
      <c r="E211" s="138"/>
      <c r="F211" s="138"/>
      <c r="G211" s="138"/>
      <c r="H211" s="181"/>
      <c r="I211" s="148"/>
      <c r="J211" s="181"/>
      <c r="K211" s="138"/>
      <c r="L211" s="139"/>
      <c r="M211" s="138"/>
    </row>
    <row r="212" spans="1:15" s="136" customFormat="1" ht="15" customHeight="1">
      <c r="B212" s="355">
        <v>2700</v>
      </c>
      <c r="C212" s="355"/>
      <c r="D212" s="138" t="s">
        <v>8</v>
      </c>
      <c r="E212" s="138"/>
      <c r="F212" s="138"/>
      <c r="G212" s="138"/>
      <c r="H212" s="138"/>
      <c r="I212" s="138"/>
      <c r="J212" s="138"/>
      <c r="K212" s="139" t="s">
        <v>13</v>
      </c>
      <c r="L212" s="138">
        <v>3600</v>
      </c>
      <c r="M212" s="138" t="s">
        <v>3</v>
      </c>
      <c r="N212" s="139" t="s">
        <v>7</v>
      </c>
      <c r="O212" s="144">
        <f>L212*B212/1000</f>
        <v>9720</v>
      </c>
    </row>
    <row r="213" spans="1:15" s="136" customFormat="1" ht="15" customHeight="1">
      <c r="B213" s="138"/>
      <c r="C213" s="138"/>
      <c r="D213" s="138"/>
      <c r="E213" s="138"/>
      <c r="F213" s="138"/>
      <c r="G213" s="138"/>
      <c r="H213" s="138"/>
      <c r="I213" s="138"/>
      <c r="J213" s="138"/>
      <c r="K213" s="138"/>
      <c r="L213" s="138"/>
      <c r="M213" s="138"/>
      <c r="O213" s="145"/>
    </row>
    <row r="214" spans="1:15" s="136" customFormat="1" ht="15" customHeight="1">
      <c r="A214" s="136">
        <v>2</v>
      </c>
      <c r="B214" s="138" t="s">
        <v>328</v>
      </c>
      <c r="C214" s="138"/>
      <c r="D214" s="138"/>
      <c r="E214" s="138"/>
      <c r="F214" s="138"/>
      <c r="G214" s="138"/>
      <c r="H214" s="138"/>
      <c r="I214" s="138"/>
      <c r="J214" s="138"/>
      <c r="K214" s="138"/>
      <c r="L214" s="138"/>
      <c r="M214" s="138"/>
      <c r="O214" s="145"/>
    </row>
    <row r="215" spans="1:15" s="136" customFormat="1" ht="15" customHeight="1">
      <c r="B215" s="138" t="s">
        <v>329</v>
      </c>
      <c r="C215" s="138"/>
      <c r="D215" s="138"/>
      <c r="E215" s="138"/>
      <c r="F215" s="138"/>
      <c r="G215" s="138"/>
      <c r="H215" s="138"/>
      <c r="I215" s="138"/>
      <c r="J215" s="138"/>
      <c r="K215" s="138"/>
      <c r="L215" s="138"/>
      <c r="M215" s="138"/>
      <c r="O215" s="145"/>
    </row>
    <row r="216" spans="1:15" s="136" customFormat="1" ht="15" customHeight="1">
      <c r="B216" s="138" t="s">
        <v>330</v>
      </c>
      <c r="C216" s="138"/>
      <c r="D216" s="138"/>
      <c r="E216" s="138"/>
      <c r="F216" s="138"/>
      <c r="G216" s="138"/>
      <c r="H216" s="138"/>
      <c r="I216" s="138"/>
      <c r="J216" s="138"/>
      <c r="K216" s="138"/>
      <c r="L216" s="138"/>
      <c r="M216" s="138"/>
      <c r="O216" s="145"/>
    </row>
    <row r="217" spans="1:15" s="136" customFormat="1" ht="15" customHeight="1">
      <c r="B217" s="138" t="s">
        <v>331</v>
      </c>
      <c r="C217" s="138"/>
      <c r="D217" s="138"/>
      <c r="E217" s="138"/>
      <c r="F217" s="138"/>
      <c r="G217" s="138"/>
      <c r="H217" s="138"/>
      <c r="I217" s="138"/>
      <c r="J217" s="138"/>
      <c r="K217" s="138"/>
      <c r="L217" s="138"/>
      <c r="M217" s="138"/>
      <c r="O217" s="145"/>
    </row>
    <row r="218" spans="1:15" s="136" customFormat="1" ht="15" customHeight="1">
      <c r="B218" s="138" t="str">
        <f>B211</f>
        <v>4" dia (110mm)</v>
      </c>
      <c r="C218" s="146">
        <v>4500</v>
      </c>
      <c r="D218" s="138" t="s">
        <v>12</v>
      </c>
      <c r="E218" s="138"/>
      <c r="F218" s="138"/>
      <c r="G218" s="138"/>
      <c r="H218" s="138"/>
      <c r="I218" s="138"/>
      <c r="J218" s="138"/>
      <c r="K218" s="139" t="s">
        <v>13</v>
      </c>
      <c r="L218" s="140">
        <v>224</v>
      </c>
      <c r="M218" s="138" t="s">
        <v>25</v>
      </c>
      <c r="N218" s="139" t="s">
        <v>31</v>
      </c>
      <c r="O218" s="144">
        <f t="shared" ref="O218" si="6">L218*C218</f>
        <v>1008000</v>
      </c>
    </row>
    <row r="219" spans="1:15" s="136" customFormat="1" ht="15" customHeight="1">
      <c r="B219" s="138"/>
      <c r="C219" s="218"/>
      <c r="D219" s="138"/>
      <c r="E219" s="138"/>
      <c r="F219" s="138"/>
      <c r="G219" s="138"/>
      <c r="H219" s="138"/>
      <c r="I219" s="138"/>
      <c r="J219" s="138"/>
      <c r="K219" s="139"/>
      <c r="L219" s="148"/>
      <c r="M219" s="138"/>
      <c r="N219" s="139"/>
      <c r="O219" s="144"/>
    </row>
    <row r="220" spans="1:15" s="136" customFormat="1" ht="15" customHeight="1">
      <c r="A220" s="136">
        <v>3</v>
      </c>
      <c r="B220" s="138" t="s">
        <v>333</v>
      </c>
      <c r="C220" s="218"/>
      <c r="D220" s="138"/>
      <c r="E220" s="138"/>
      <c r="F220" s="138"/>
      <c r="G220" s="138"/>
      <c r="H220" s="138"/>
      <c r="I220" s="138"/>
      <c r="J220" s="138"/>
      <c r="K220" s="139"/>
      <c r="L220" s="138"/>
      <c r="M220" s="138"/>
      <c r="N220" s="139"/>
      <c r="O220" s="144"/>
    </row>
    <row r="221" spans="1:15" s="136" customFormat="1" ht="15" customHeight="1">
      <c r="B221" s="138" t="s">
        <v>334</v>
      </c>
      <c r="C221" s="218"/>
      <c r="D221" s="138"/>
      <c r="E221" s="138"/>
      <c r="F221" s="138"/>
      <c r="G221" s="138"/>
      <c r="H221" s="138"/>
      <c r="I221" s="138"/>
      <c r="J221" s="138"/>
      <c r="K221" s="139"/>
      <c r="L221" s="138"/>
      <c r="M221" s="138"/>
      <c r="N221" s="139"/>
      <c r="O221" s="144"/>
    </row>
    <row r="222" spans="1:15" s="136" customFormat="1" ht="15" customHeight="1">
      <c r="B222" s="138" t="str">
        <f>B218</f>
        <v>4" dia (110mm)</v>
      </c>
      <c r="C222" s="218">
        <v>2</v>
      </c>
      <c r="D222" s="138" t="s">
        <v>46</v>
      </c>
      <c r="E222" s="138"/>
      <c r="F222" s="138"/>
      <c r="G222" s="138"/>
      <c r="H222" s="138"/>
      <c r="I222" s="138"/>
      <c r="J222" s="138"/>
      <c r="K222" s="139" t="str">
        <f>K218</f>
        <v xml:space="preserve"> @Rs</v>
      </c>
      <c r="L222" s="138">
        <v>1324</v>
      </c>
      <c r="M222" s="138" t="s">
        <v>272</v>
      </c>
      <c r="N222" s="139" t="str">
        <f>N218</f>
        <v>Rs:</v>
      </c>
      <c r="O222" s="144">
        <f t="shared" ref="O222" si="7">L222*C222</f>
        <v>2648</v>
      </c>
    </row>
    <row r="223" spans="1:15" s="136" customFormat="1" ht="15" customHeight="1">
      <c r="B223" s="138" t="s">
        <v>335</v>
      </c>
      <c r="C223" s="218"/>
      <c r="D223" s="138"/>
      <c r="E223" s="138"/>
      <c r="F223" s="138"/>
      <c r="G223" s="138"/>
      <c r="H223" s="138"/>
      <c r="I223" s="138"/>
      <c r="J223" s="138"/>
      <c r="K223" s="139"/>
      <c r="L223" s="138"/>
      <c r="M223" s="138"/>
      <c r="N223" s="139"/>
      <c r="O223" s="144"/>
    </row>
    <row r="224" spans="1:15" s="136" customFormat="1" ht="15" customHeight="1">
      <c r="B224" s="138" t="str">
        <f>B222</f>
        <v>4" dia (110mm)</v>
      </c>
      <c r="C224" s="218">
        <v>3</v>
      </c>
      <c r="D224" s="138" t="s">
        <v>46</v>
      </c>
      <c r="E224" s="138"/>
      <c r="F224" s="138"/>
      <c r="G224" s="138"/>
      <c r="H224" s="138"/>
      <c r="I224" s="138"/>
      <c r="J224" s="138"/>
      <c r="K224" s="139" t="s">
        <v>32</v>
      </c>
      <c r="L224" s="140">
        <v>1655</v>
      </c>
      <c r="M224" s="138" t="s">
        <v>272</v>
      </c>
      <c r="N224" s="139" t="s">
        <v>31</v>
      </c>
      <c r="O224" s="144">
        <f t="shared" ref="O224" si="8">L224*C224</f>
        <v>4965</v>
      </c>
    </row>
    <row r="225" spans="1:22" s="136" customFormat="1" ht="15" customHeight="1">
      <c r="B225" s="138"/>
      <c r="C225" s="218"/>
      <c r="D225" s="138"/>
      <c r="E225" s="138"/>
      <c r="F225" s="138"/>
      <c r="G225" s="138"/>
      <c r="H225" s="138"/>
      <c r="I225" s="138"/>
      <c r="J225" s="138"/>
      <c r="K225" s="139"/>
      <c r="L225" s="140"/>
      <c r="M225" s="138"/>
      <c r="N225" s="139"/>
      <c r="O225" s="144"/>
    </row>
    <row r="226" spans="1:22" s="136" customFormat="1" ht="15" customHeight="1">
      <c r="A226" s="136">
        <v>4</v>
      </c>
      <c r="B226" s="138" t="s">
        <v>373</v>
      </c>
      <c r="C226" s="218"/>
      <c r="D226" s="138"/>
      <c r="E226" s="138"/>
      <c r="F226" s="138"/>
      <c r="G226" s="138"/>
      <c r="H226" s="138"/>
      <c r="I226" s="138"/>
      <c r="J226" s="138"/>
      <c r="K226" s="139"/>
      <c r="L226" s="138"/>
      <c r="M226" s="138"/>
      <c r="N226" s="139"/>
      <c r="O226" s="144"/>
    </row>
    <row r="227" spans="1:22" s="136" customFormat="1" ht="15" customHeight="1">
      <c r="B227" s="138" t="s">
        <v>378</v>
      </c>
      <c r="C227" s="218"/>
      <c r="D227" s="138"/>
      <c r="E227" s="138"/>
      <c r="F227" s="138"/>
      <c r="G227" s="138"/>
      <c r="H227" s="138"/>
      <c r="I227" s="138"/>
      <c r="J227" s="138"/>
      <c r="K227" s="139"/>
      <c r="L227" s="138"/>
      <c r="M227" s="138"/>
      <c r="N227" s="139"/>
      <c r="O227" s="144"/>
    </row>
    <row r="228" spans="1:22" s="136" customFormat="1" ht="15" customHeight="1">
      <c r="B228" s="138" t="s">
        <v>376</v>
      </c>
      <c r="C228" s="182">
        <v>2</v>
      </c>
      <c r="D228" s="138" t="s">
        <v>46</v>
      </c>
      <c r="E228" s="138"/>
      <c r="F228" s="138"/>
      <c r="G228" s="138"/>
      <c r="H228" s="138"/>
      <c r="I228" s="138"/>
      <c r="J228" s="183" t="s">
        <v>377</v>
      </c>
      <c r="K228" s="63" t="s">
        <v>7</v>
      </c>
      <c r="L228" s="138">
        <v>2483</v>
      </c>
      <c r="M228" s="138" t="s">
        <v>272</v>
      </c>
      <c r="N228" s="139" t="s">
        <v>7</v>
      </c>
      <c r="O228" s="144">
        <f t="shared" ref="O228" si="9">L228*C228</f>
        <v>4966</v>
      </c>
    </row>
    <row r="229" spans="1:22" s="136" customFormat="1" ht="15" customHeight="1">
      <c r="B229" s="138"/>
      <c r="C229" s="218"/>
      <c r="D229" s="138"/>
      <c r="E229" s="138"/>
      <c r="F229" s="138"/>
      <c r="G229" s="138"/>
      <c r="H229" s="138"/>
      <c r="I229" s="138"/>
      <c r="J229" s="138"/>
      <c r="K229" s="139"/>
      <c r="L229" s="140"/>
      <c r="M229" s="138"/>
      <c r="N229" s="139"/>
      <c r="O229" s="144"/>
    </row>
    <row r="230" spans="1:22" s="136" customFormat="1" ht="15" customHeight="1">
      <c r="A230" s="136">
        <v>5</v>
      </c>
      <c r="B230" s="138" t="s">
        <v>336</v>
      </c>
      <c r="C230" s="218"/>
      <c r="D230" s="138"/>
      <c r="E230" s="138"/>
      <c r="F230" s="138"/>
      <c r="G230" s="138"/>
      <c r="H230" s="138"/>
      <c r="I230" s="138"/>
      <c r="J230" s="138"/>
      <c r="K230" s="139"/>
      <c r="L230" s="140"/>
      <c r="M230" s="138"/>
      <c r="N230" s="139"/>
      <c r="O230" s="144"/>
    </row>
    <row r="231" spans="1:22" s="136" customFormat="1" ht="15" customHeight="1">
      <c r="A231" s="152"/>
      <c r="B231" s="152" t="str">
        <f>B224</f>
        <v>4" dia (110mm)</v>
      </c>
      <c r="C231" s="152">
        <v>8</v>
      </c>
      <c r="D231" s="138" t="s">
        <v>272</v>
      </c>
      <c r="E231" s="138"/>
      <c r="F231" s="138"/>
      <c r="G231" s="138"/>
      <c r="H231" s="138"/>
      <c r="I231" s="138"/>
      <c r="J231" s="138"/>
      <c r="K231" s="139" t="s">
        <v>13</v>
      </c>
      <c r="L231" s="140">
        <v>1000</v>
      </c>
      <c r="M231" s="138" t="s">
        <v>272</v>
      </c>
      <c r="N231" s="139" t="s">
        <v>31</v>
      </c>
      <c r="O231" s="144">
        <f t="shared" ref="O231" si="10">C231*L231</f>
        <v>8000</v>
      </c>
    </row>
    <row r="232" spans="1:22" s="149" customFormat="1" ht="15" customHeight="1">
      <c r="A232" s="219"/>
      <c r="B232" s="138"/>
      <c r="C232" s="218"/>
      <c r="D232" s="138"/>
      <c r="E232" s="139"/>
      <c r="F232" s="138"/>
      <c r="G232" s="219"/>
      <c r="H232" s="139"/>
      <c r="I232" s="144"/>
    </row>
    <row r="233" spans="1:22" s="136" customFormat="1" ht="15" customHeight="1">
      <c r="A233" s="136">
        <v>6</v>
      </c>
      <c r="B233" s="138" t="s">
        <v>273</v>
      </c>
      <c r="C233" s="218"/>
      <c r="D233" s="138"/>
      <c r="E233" s="138"/>
      <c r="F233" s="138"/>
      <c r="G233" s="138"/>
      <c r="H233" s="138"/>
      <c r="I233" s="138"/>
      <c r="J233" s="138"/>
      <c r="K233" s="139"/>
      <c r="L233" s="140"/>
      <c r="M233" s="138"/>
      <c r="N233" s="139"/>
      <c r="O233" s="144"/>
    </row>
    <row r="234" spans="1:22" s="136" customFormat="1" ht="15" customHeight="1">
      <c r="B234" s="138" t="s">
        <v>274</v>
      </c>
      <c r="C234" s="218"/>
      <c r="D234" s="138"/>
      <c r="E234" s="138"/>
      <c r="F234" s="138"/>
      <c r="G234" s="138"/>
      <c r="H234" s="138"/>
      <c r="I234" s="138"/>
      <c r="J234" s="138"/>
      <c r="K234" s="139"/>
      <c r="L234" s="140"/>
      <c r="M234" s="138"/>
      <c r="N234" s="139"/>
      <c r="O234" s="144"/>
    </row>
    <row r="235" spans="1:22" s="136" customFormat="1" ht="15" customHeight="1">
      <c r="B235" s="355"/>
      <c r="C235" s="355"/>
      <c r="D235" s="138"/>
      <c r="E235" s="138"/>
      <c r="F235" s="150"/>
      <c r="G235" s="138"/>
      <c r="H235" s="138"/>
      <c r="I235" s="138"/>
      <c r="J235" s="138"/>
      <c r="K235" s="139"/>
      <c r="L235" s="355"/>
      <c r="M235" s="355"/>
      <c r="N235" s="139"/>
      <c r="O235" s="144"/>
    </row>
    <row r="236" spans="1:22" s="136" customFormat="1" ht="15" customHeight="1">
      <c r="B236" s="363">
        <v>24300</v>
      </c>
      <c r="C236" s="363"/>
      <c r="D236" s="140" t="s">
        <v>8</v>
      </c>
      <c r="E236" s="138"/>
      <c r="F236" s="138"/>
      <c r="G236" s="138"/>
      <c r="H236" s="138"/>
      <c r="I236" s="138"/>
      <c r="J236" s="138"/>
      <c r="K236" s="139" t="s">
        <v>32</v>
      </c>
      <c r="L236" s="140">
        <v>2760</v>
      </c>
      <c r="M236" s="138" t="s">
        <v>3</v>
      </c>
      <c r="N236" s="139" t="s">
        <v>31</v>
      </c>
      <c r="O236" s="144">
        <f>L236*B236/1000</f>
        <v>67068</v>
      </c>
    </row>
    <row r="237" spans="1:22" s="136" customFormat="1" ht="15" customHeight="1">
      <c r="B237" s="138"/>
      <c r="C237" s="218"/>
      <c r="D237" s="138"/>
      <c r="E237" s="138"/>
      <c r="F237" s="138"/>
      <c r="G237" s="138"/>
      <c r="H237" s="138"/>
      <c r="I237" s="138"/>
      <c r="J237" s="138"/>
      <c r="K237" s="139"/>
      <c r="L237" s="140"/>
      <c r="M237" s="138"/>
      <c r="N237" s="141" t="s">
        <v>7</v>
      </c>
      <c r="O237" s="142">
        <f>SUM(O212:O236)</f>
        <v>1105367</v>
      </c>
    </row>
    <row r="239" spans="1:22" s="6" customFormat="1" ht="15.75">
      <c r="A239" s="30"/>
      <c r="B239" s="240" t="s">
        <v>505</v>
      </c>
      <c r="C239" s="240"/>
      <c r="D239" s="240"/>
      <c r="E239" s="240"/>
      <c r="F239" s="240"/>
      <c r="G239" s="240"/>
      <c r="H239" s="240"/>
      <c r="I239" s="240"/>
      <c r="J239" s="241"/>
      <c r="K239" s="128"/>
      <c r="L239" s="128"/>
      <c r="M239" s="128"/>
      <c r="N239" s="128"/>
      <c r="O239" s="8"/>
      <c r="P239" s="208"/>
      <c r="Q239" s="208"/>
      <c r="R239" s="210"/>
      <c r="S239" s="41"/>
      <c r="T239" s="104"/>
      <c r="U239" s="212"/>
      <c r="V239" s="212"/>
    </row>
    <row r="240" spans="1:22" s="6" customFormat="1" ht="12.75">
      <c r="A240">
        <v>1</v>
      </c>
      <c r="B240" s="7" t="s">
        <v>423</v>
      </c>
      <c r="C240"/>
      <c r="D240"/>
      <c r="E240"/>
      <c r="F240"/>
      <c r="G240"/>
      <c r="H240"/>
      <c r="I240"/>
      <c r="J240"/>
      <c r="K240"/>
      <c r="L240"/>
      <c r="M240"/>
      <c r="N240"/>
    </row>
    <row r="241" spans="1:23" s="6" customFormat="1" ht="12.75">
      <c r="A241"/>
      <c r="B241" s="7" t="s">
        <v>424</v>
      </c>
      <c r="C241"/>
      <c r="D241"/>
      <c r="E241"/>
      <c r="F241"/>
      <c r="G241"/>
      <c r="H241"/>
      <c r="I241"/>
      <c r="J241"/>
      <c r="K241"/>
      <c r="L241"/>
      <c r="M241"/>
      <c r="N241"/>
    </row>
    <row r="242" spans="1:23" s="6" customFormat="1" ht="12.75">
      <c r="A242"/>
      <c r="B242" s="220" t="s">
        <v>425</v>
      </c>
      <c r="C242"/>
      <c r="D242"/>
      <c r="E242"/>
      <c r="F242"/>
      <c r="G242"/>
      <c r="H242"/>
      <c r="I242"/>
      <c r="J242"/>
      <c r="K242"/>
      <c r="L242"/>
      <c r="M242"/>
      <c r="N242"/>
    </row>
    <row r="243" spans="1:23" s="6" customFormat="1" ht="12.75">
      <c r="A243"/>
      <c r="B243" s="220"/>
      <c r="C243"/>
      <c r="D243"/>
      <c r="E243"/>
      <c r="F243"/>
      <c r="G243"/>
      <c r="H243"/>
      <c r="I243"/>
      <c r="J243"/>
      <c r="K243"/>
      <c r="L243"/>
      <c r="M243"/>
      <c r="N243"/>
    </row>
    <row r="244" spans="1:23" s="6" customFormat="1" ht="15.75">
      <c r="A244"/>
      <c r="B244" s="248" t="s">
        <v>480</v>
      </c>
      <c r="C244" s="320">
        <v>168.45</v>
      </c>
      <c r="D244" s="320"/>
      <c r="E244" s="221" t="s">
        <v>399</v>
      </c>
      <c r="F244" s="8"/>
      <c r="G244" s="8"/>
      <c r="J244" s="104"/>
      <c r="K244" s="139" t="s">
        <v>32</v>
      </c>
      <c r="L244" s="140">
        <v>3176.25</v>
      </c>
      <c r="M244" s="138" t="s">
        <v>3</v>
      </c>
      <c r="N244" s="139" t="s">
        <v>31</v>
      </c>
      <c r="O244" s="144">
        <f>C244*L244/1000</f>
        <v>535.03931250000005</v>
      </c>
      <c r="P244" s="320"/>
      <c r="Q244" s="320"/>
      <c r="R244" s="320"/>
      <c r="S244" s="8"/>
      <c r="T244" s="8"/>
      <c r="U244" s="364"/>
      <c r="V244" s="364"/>
      <c r="W244" s="242"/>
    </row>
    <row r="245" spans="1:23" s="6" customFormat="1" ht="15.7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 s="8"/>
      <c r="P245" s="8"/>
      <c r="Q245" s="8"/>
      <c r="R245" s="8"/>
      <c r="S245" s="8"/>
      <c r="T245" s="8"/>
      <c r="U245" s="8"/>
      <c r="V245" s="8"/>
    </row>
    <row r="246" spans="1:23" s="6" customFormat="1" ht="15.75">
      <c r="A246">
        <v>2</v>
      </c>
      <c r="B246" t="s">
        <v>426</v>
      </c>
      <c r="C246"/>
      <c r="D246"/>
      <c r="E246"/>
      <c r="F246"/>
      <c r="G246"/>
      <c r="H246"/>
      <c r="I246"/>
      <c r="J246"/>
      <c r="K246"/>
      <c r="L246"/>
      <c r="M246"/>
      <c r="N246"/>
      <c r="O246" s="8"/>
      <c r="P246" s="8"/>
      <c r="Q246" s="8"/>
      <c r="R246" s="8"/>
      <c r="S246" s="8"/>
      <c r="T246" s="8"/>
      <c r="U246" s="8"/>
      <c r="V246" s="8"/>
    </row>
    <row r="247" spans="1:23" s="6" customFormat="1" ht="15.75">
      <c r="A247"/>
      <c r="B247" t="s">
        <v>427</v>
      </c>
      <c r="C247"/>
      <c r="D247"/>
      <c r="E247"/>
      <c r="F247"/>
      <c r="G247"/>
      <c r="H247"/>
      <c r="I247"/>
      <c r="J247"/>
      <c r="K247"/>
      <c r="L247"/>
      <c r="M247"/>
      <c r="N247"/>
      <c r="O247" s="8"/>
      <c r="P247" s="8"/>
      <c r="Q247" s="8"/>
      <c r="R247" s="8"/>
      <c r="S247" s="8"/>
      <c r="T247" s="8"/>
      <c r="U247" s="8"/>
      <c r="V247" s="8"/>
    </row>
    <row r="248" spans="1:23" s="6" customFormat="1" ht="15.75">
      <c r="A248"/>
      <c r="B248" t="s">
        <v>428</v>
      </c>
      <c r="C248"/>
      <c r="D248"/>
      <c r="E248"/>
      <c r="F248"/>
      <c r="G248"/>
      <c r="H248"/>
      <c r="I248"/>
      <c r="J248"/>
      <c r="K248"/>
      <c r="L248"/>
      <c r="M248"/>
      <c r="N248"/>
      <c r="O248" s="8"/>
      <c r="P248" s="8"/>
      <c r="Q248" s="8"/>
      <c r="R248" s="8"/>
      <c r="S248" s="8"/>
      <c r="T248" s="8"/>
      <c r="U248" s="8"/>
      <c r="V248" s="8"/>
    </row>
    <row r="249" spans="1:23" s="6" customFormat="1" ht="15.75">
      <c r="A249"/>
      <c r="B249" s="248" t="s">
        <v>480</v>
      </c>
      <c r="C249" s="320">
        <v>116.76</v>
      </c>
      <c r="D249" s="320"/>
      <c r="E249" s="221" t="s">
        <v>399</v>
      </c>
      <c r="F249" s="8"/>
      <c r="G249" s="8"/>
      <c r="J249" s="104"/>
      <c r="K249" s="139" t="s">
        <v>32</v>
      </c>
      <c r="L249" s="140">
        <v>11288.75</v>
      </c>
      <c r="M249" s="138" t="s">
        <v>14</v>
      </c>
      <c r="N249" s="139" t="s">
        <v>31</v>
      </c>
      <c r="O249" s="144">
        <f>C249*L249/100</f>
        <v>13180.744499999999</v>
      </c>
      <c r="P249" s="320"/>
      <c r="Q249" s="320"/>
      <c r="R249" s="320"/>
      <c r="S249" s="8"/>
      <c r="T249" s="8"/>
      <c r="U249" s="364"/>
      <c r="V249" s="364"/>
      <c r="W249" s="242"/>
    </row>
    <row r="250" spans="1:23" s="6" customFormat="1" ht="12.7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</row>
    <row r="251" spans="1:23" s="6" customFormat="1" ht="12.75">
      <c r="A251">
        <v>3</v>
      </c>
      <c r="B251" s="7" t="s">
        <v>426</v>
      </c>
      <c r="C251"/>
      <c r="D251"/>
      <c r="E251"/>
      <c r="F251"/>
      <c r="G251"/>
      <c r="H251"/>
      <c r="I251"/>
      <c r="J251"/>
      <c r="K251"/>
      <c r="L251"/>
      <c r="M251"/>
      <c r="N251"/>
    </row>
    <row r="252" spans="1:23" s="6" customFormat="1" ht="12.75">
      <c r="A252"/>
      <c r="B252" s="7" t="s">
        <v>427</v>
      </c>
      <c r="C252"/>
      <c r="D252"/>
      <c r="E252"/>
      <c r="F252"/>
      <c r="G252"/>
      <c r="H252"/>
      <c r="I252"/>
      <c r="J252"/>
      <c r="K252"/>
      <c r="L252"/>
      <c r="M252"/>
      <c r="N252"/>
    </row>
    <row r="253" spans="1:23" s="6" customFormat="1" ht="12.75">
      <c r="A253"/>
      <c r="B253" s="7" t="s">
        <v>429</v>
      </c>
      <c r="C253"/>
      <c r="D253"/>
      <c r="E253"/>
      <c r="F253"/>
      <c r="G253"/>
      <c r="H253"/>
      <c r="I253"/>
      <c r="J253"/>
      <c r="K253"/>
      <c r="L253"/>
      <c r="M253"/>
      <c r="N253"/>
    </row>
    <row r="254" spans="1:23" s="6" customFormat="1" ht="12.7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</row>
    <row r="255" spans="1:23" s="6" customFormat="1" ht="15.75">
      <c r="A255"/>
      <c r="B255" s="248" t="s">
        <v>480</v>
      </c>
      <c r="C255" s="320">
        <v>54</v>
      </c>
      <c r="D255" s="320"/>
      <c r="E255" s="221" t="s">
        <v>399</v>
      </c>
      <c r="F255" s="8"/>
      <c r="G255" s="8"/>
      <c r="J255" s="104"/>
      <c r="K255" s="139" t="s">
        <v>32</v>
      </c>
      <c r="L255" s="140">
        <v>14429.25</v>
      </c>
      <c r="M255" s="138" t="s">
        <v>14</v>
      </c>
      <c r="N255" s="139" t="s">
        <v>31</v>
      </c>
      <c r="O255" s="144">
        <f>C255*L255/100</f>
        <v>7791.7950000000001</v>
      </c>
      <c r="P255" s="320"/>
      <c r="Q255" s="320"/>
      <c r="R255" s="320"/>
      <c r="S255" s="8"/>
      <c r="T255" s="8"/>
      <c r="U255" s="364"/>
      <c r="V255" s="364"/>
      <c r="W255" s="242"/>
    </row>
    <row r="256" spans="1:23" s="6" customFormat="1" ht="12.7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</row>
    <row r="257" spans="1:23" s="6" customFormat="1" ht="12.75">
      <c r="A257">
        <v>4</v>
      </c>
      <c r="B257" s="7" t="s">
        <v>430</v>
      </c>
      <c r="C257"/>
      <c r="D257"/>
      <c r="E257"/>
      <c r="F257"/>
      <c r="G257"/>
      <c r="H257"/>
      <c r="I257"/>
      <c r="J257"/>
      <c r="K257"/>
      <c r="L257"/>
      <c r="M257"/>
      <c r="N257"/>
    </row>
    <row r="258" spans="1:23" s="6" customFormat="1" ht="12.75">
      <c r="A258"/>
      <c r="B258" s="7" t="s">
        <v>431</v>
      </c>
      <c r="C258"/>
      <c r="D258"/>
      <c r="E258"/>
      <c r="F258"/>
      <c r="G258"/>
      <c r="H258"/>
      <c r="I258"/>
      <c r="J258"/>
      <c r="K258"/>
      <c r="L258"/>
      <c r="M258"/>
      <c r="N258"/>
    </row>
    <row r="259" spans="1:23" s="6" customFormat="1" ht="12.7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</row>
    <row r="260" spans="1:23" s="6" customFormat="1" ht="15.75">
      <c r="A260"/>
      <c r="B260" s="248" t="s">
        <v>480</v>
      </c>
      <c r="C260" s="320">
        <v>170.83</v>
      </c>
      <c r="D260" s="320"/>
      <c r="E260" s="221" t="s">
        <v>399</v>
      </c>
      <c r="F260" s="8"/>
      <c r="G260" s="8"/>
      <c r="J260" s="104"/>
      <c r="K260" s="139" t="s">
        <v>32</v>
      </c>
      <c r="L260" s="140">
        <v>11948.36</v>
      </c>
      <c r="M260" s="138" t="s">
        <v>14</v>
      </c>
      <c r="N260" s="139" t="s">
        <v>31</v>
      </c>
      <c r="O260" s="144">
        <f>C260*L260/100</f>
        <v>20411.383388000002</v>
      </c>
      <c r="P260" s="320"/>
      <c r="Q260" s="320"/>
      <c r="R260" s="320"/>
      <c r="S260" s="8"/>
      <c r="T260" s="8"/>
      <c r="U260" s="364"/>
      <c r="V260" s="364"/>
      <c r="W260" s="242"/>
    </row>
    <row r="261" spans="1:23" s="6" customFormat="1" ht="12.7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</row>
    <row r="262" spans="1:23" s="6" customFormat="1" ht="12.75">
      <c r="A262">
        <v>5</v>
      </c>
      <c r="B262" s="7" t="s">
        <v>432</v>
      </c>
      <c r="C262"/>
      <c r="D262"/>
      <c r="E262"/>
      <c r="F262"/>
      <c r="G262"/>
      <c r="H262"/>
      <c r="I262"/>
      <c r="J262"/>
      <c r="K262"/>
      <c r="L262"/>
      <c r="M262"/>
      <c r="N262"/>
    </row>
    <row r="263" spans="1:23" s="6" customFormat="1" ht="12.75">
      <c r="A263"/>
      <c r="B263" s="7" t="s">
        <v>433</v>
      </c>
      <c r="C263"/>
      <c r="D263"/>
      <c r="E263"/>
      <c r="F263"/>
      <c r="G263"/>
      <c r="H263"/>
      <c r="I263"/>
      <c r="J263"/>
      <c r="K263"/>
      <c r="L263"/>
      <c r="M263"/>
      <c r="N263"/>
    </row>
    <row r="264" spans="1:23" s="6" customFormat="1" ht="12.7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</row>
    <row r="265" spans="1:23" s="6" customFormat="1" ht="15.75">
      <c r="A265"/>
      <c r="B265" s="248" t="s">
        <v>480</v>
      </c>
      <c r="C265" s="320">
        <v>91.4</v>
      </c>
      <c r="D265" s="320"/>
      <c r="E265" s="221" t="s">
        <v>399</v>
      </c>
      <c r="F265" s="8"/>
      <c r="G265" s="8"/>
      <c r="J265" s="104"/>
      <c r="K265" s="139" t="s">
        <v>32</v>
      </c>
      <c r="L265" s="140">
        <v>1512.5</v>
      </c>
      <c r="M265" s="138" t="s">
        <v>481</v>
      </c>
      <c r="N265" s="139" t="s">
        <v>31</v>
      </c>
      <c r="O265" s="144">
        <f>C265*L265/1000</f>
        <v>138.24250000000001</v>
      </c>
      <c r="P265" s="320"/>
      <c r="Q265" s="320"/>
      <c r="R265" s="320"/>
      <c r="S265" s="8"/>
      <c r="T265" s="8"/>
      <c r="U265" s="364"/>
      <c r="V265" s="364"/>
      <c r="W265" s="242"/>
    </row>
    <row r="266" spans="1:23" s="6" customFormat="1" ht="12.7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</row>
    <row r="267" spans="1:23" s="6" customFormat="1" ht="12.75">
      <c r="A267">
        <v>6</v>
      </c>
      <c r="B267" s="7" t="s">
        <v>434</v>
      </c>
      <c r="C267"/>
      <c r="D267"/>
      <c r="E267"/>
      <c r="F267"/>
      <c r="G267"/>
      <c r="H267"/>
      <c r="I267"/>
      <c r="J267"/>
      <c r="K267"/>
      <c r="L267"/>
      <c r="M267"/>
      <c r="N267"/>
    </row>
    <row r="268" spans="1:23" s="6" customFormat="1" ht="12.7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</row>
    <row r="269" spans="1:23" s="6" customFormat="1" ht="15.75">
      <c r="A269"/>
      <c r="B269" s="248" t="s">
        <v>480</v>
      </c>
      <c r="C269" s="320">
        <v>254.21</v>
      </c>
      <c r="D269" s="320"/>
      <c r="E269" s="221" t="s">
        <v>477</v>
      </c>
      <c r="F269" s="8"/>
      <c r="G269" s="8"/>
      <c r="J269" s="104"/>
      <c r="K269" s="139" t="s">
        <v>32</v>
      </c>
      <c r="L269" s="140">
        <v>2293.9299999999998</v>
      </c>
      <c r="M269" s="138" t="s">
        <v>482</v>
      </c>
      <c r="N269" s="139" t="s">
        <v>31</v>
      </c>
      <c r="O269" s="144">
        <f>C269*L269/100</f>
        <v>5831.399453</v>
      </c>
      <c r="P269" s="320"/>
      <c r="Q269" s="320"/>
      <c r="R269" s="320"/>
      <c r="S269" s="8"/>
      <c r="T269" s="8"/>
      <c r="U269" s="364"/>
      <c r="V269" s="364"/>
      <c r="W269" s="242"/>
    </row>
    <row r="270" spans="1:23" s="6" customFormat="1" ht="12.7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</row>
    <row r="271" spans="1:23" s="6" customFormat="1" ht="12.75">
      <c r="A271">
        <v>7</v>
      </c>
      <c r="B271" s="69" t="s">
        <v>435</v>
      </c>
      <c r="C271" s="69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69"/>
      <c r="O271" s="69"/>
    </row>
    <row r="272" spans="1:23" s="6" customFormat="1" ht="12.75">
      <c r="A272"/>
      <c r="B272" s="7" t="s">
        <v>436</v>
      </c>
      <c r="C272"/>
      <c r="D272"/>
      <c r="E272"/>
      <c r="F272"/>
      <c r="G272"/>
      <c r="H272"/>
      <c r="I272"/>
      <c r="J272"/>
      <c r="K272"/>
      <c r="L272"/>
      <c r="M272"/>
      <c r="N272"/>
    </row>
    <row r="273" spans="1:23" s="6" customFormat="1" ht="12.75">
      <c r="A273"/>
      <c r="B273" s="7" t="s">
        <v>437</v>
      </c>
      <c r="C273"/>
      <c r="D273"/>
      <c r="E273"/>
      <c r="F273"/>
      <c r="G273"/>
      <c r="H273"/>
      <c r="I273"/>
      <c r="J273"/>
      <c r="K273"/>
      <c r="L273"/>
      <c r="M273"/>
      <c r="N273"/>
    </row>
    <row r="274" spans="1:23" s="6" customFormat="1" ht="12.75">
      <c r="A274"/>
      <c r="B274" s="7" t="s">
        <v>438</v>
      </c>
      <c r="C274"/>
      <c r="D274"/>
      <c r="E274"/>
      <c r="F274"/>
      <c r="G274"/>
      <c r="H274"/>
      <c r="I274"/>
      <c r="J274"/>
      <c r="K274"/>
      <c r="L274"/>
      <c r="M274"/>
      <c r="N274"/>
    </row>
    <row r="275" spans="1:23" s="6" customFormat="1" ht="12.75">
      <c r="A275"/>
      <c r="B275" s="7" t="s">
        <v>439</v>
      </c>
      <c r="C275"/>
      <c r="D275"/>
      <c r="E275"/>
      <c r="F275"/>
      <c r="G275"/>
      <c r="H275"/>
      <c r="I275"/>
      <c r="J275"/>
      <c r="K275"/>
      <c r="L275"/>
      <c r="M275"/>
      <c r="N275"/>
    </row>
    <row r="276" spans="1:23" s="6" customFormat="1" ht="12.75">
      <c r="A276"/>
      <c r="B276" s="7" t="s">
        <v>440</v>
      </c>
      <c r="C276"/>
      <c r="D276"/>
      <c r="E276"/>
      <c r="F276"/>
      <c r="G276"/>
      <c r="H276"/>
      <c r="I276"/>
      <c r="J276"/>
      <c r="K276"/>
      <c r="L276"/>
      <c r="M276"/>
      <c r="N276"/>
    </row>
    <row r="277" spans="1:23" s="6" customFormat="1" ht="12.75">
      <c r="A277"/>
      <c r="B277" s="7" t="s">
        <v>441</v>
      </c>
      <c r="C277"/>
      <c r="D277"/>
      <c r="E277"/>
      <c r="F277"/>
      <c r="G277"/>
      <c r="H277"/>
      <c r="I277"/>
      <c r="J277"/>
      <c r="K277"/>
      <c r="L277"/>
      <c r="M277"/>
      <c r="N277"/>
    </row>
    <row r="278" spans="1:23" s="6" customFormat="1" ht="12.75">
      <c r="A278"/>
      <c r="B278" s="7" t="s">
        <v>442</v>
      </c>
      <c r="C278"/>
      <c r="D278"/>
      <c r="E278"/>
      <c r="F278"/>
      <c r="G278"/>
      <c r="H278"/>
      <c r="I278"/>
      <c r="J278"/>
      <c r="K278"/>
      <c r="L278"/>
      <c r="M278"/>
      <c r="N278"/>
    </row>
    <row r="279" spans="1:23" s="6" customFormat="1" ht="15.75">
      <c r="A279"/>
      <c r="B279" s="248" t="s">
        <v>480</v>
      </c>
      <c r="C279" s="320">
        <v>170.83</v>
      </c>
      <c r="D279" s="320"/>
      <c r="E279" s="221" t="s">
        <v>399</v>
      </c>
      <c r="F279" s="8"/>
      <c r="G279" s="8"/>
      <c r="J279" s="104"/>
      <c r="K279" s="139" t="s">
        <v>32</v>
      </c>
      <c r="L279" s="140">
        <v>337</v>
      </c>
      <c r="M279" s="138" t="s">
        <v>483</v>
      </c>
      <c r="N279" s="139" t="s">
        <v>31</v>
      </c>
      <c r="O279" s="144">
        <f>C279*L279</f>
        <v>57569.710000000006</v>
      </c>
      <c r="P279" s="320"/>
      <c r="Q279" s="320"/>
      <c r="R279" s="320"/>
      <c r="S279" s="8"/>
      <c r="T279" s="8"/>
      <c r="U279" s="364"/>
      <c r="V279" s="364"/>
      <c r="W279" s="242"/>
    </row>
    <row r="280" spans="1:23" s="6" customFormat="1" ht="12.7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</row>
    <row r="281" spans="1:23" s="6" customFormat="1" ht="12.75">
      <c r="A281">
        <v>8</v>
      </c>
      <c r="B281" s="7" t="s">
        <v>443</v>
      </c>
      <c r="C281"/>
      <c r="D281"/>
      <c r="E281"/>
      <c r="F281"/>
      <c r="G281"/>
      <c r="H281"/>
      <c r="I281"/>
      <c r="J281"/>
      <c r="K281"/>
      <c r="L281"/>
      <c r="M281"/>
      <c r="N281"/>
    </row>
    <row r="282" spans="1:23" s="6" customFormat="1" ht="12.75">
      <c r="A282"/>
      <c r="B282" s="7" t="s">
        <v>444</v>
      </c>
      <c r="C282"/>
      <c r="D282"/>
      <c r="E282"/>
      <c r="F282"/>
      <c r="G282"/>
      <c r="H282"/>
      <c r="I282"/>
      <c r="J282"/>
      <c r="K282"/>
      <c r="L282"/>
      <c r="M282"/>
      <c r="N282"/>
    </row>
    <row r="283" spans="1:23" s="6" customFormat="1" ht="12.75">
      <c r="A283"/>
      <c r="B283" s="7" t="s">
        <v>445</v>
      </c>
      <c r="C283"/>
      <c r="D283"/>
      <c r="E283"/>
      <c r="F283"/>
      <c r="G283"/>
      <c r="H283"/>
      <c r="I283"/>
      <c r="J283"/>
      <c r="K283"/>
      <c r="L283"/>
      <c r="M283"/>
      <c r="N283"/>
    </row>
    <row r="284" spans="1:23" s="6" customFormat="1" ht="12.75">
      <c r="A284"/>
      <c r="B284" s="7" t="s">
        <v>446</v>
      </c>
      <c r="C284"/>
      <c r="D284"/>
      <c r="E284"/>
      <c r="F284"/>
      <c r="G284"/>
      <c r="H284"/>
      <c r="I284"/>
      <c r="J284"/>
      <c r="K284"/>
      <c r="L284"/>
      <c r="M284"/>
      <c r="N284"/>
    </row>
    <row r="285" spans="1:23" s="6" customFormat="1" ht="7.5" customHeight="1">
      <c r="A285"/>
      <c r="B285" s="220"/>
      <c r="C285" s="209"/>
      <c r="D285" s="216"/>
      <c r="E285" s="209"/>
      <c r="F285" s="209"/>
      <c r="G285" s="216"/>
      <c r="H285" s="209"/>
      <c r="I285" s="216"/>
      <c r="J285" s="211"/>
      <c r="K285" s="216"/>
      <c r="L285" s="209"/>
      <c r="M285" s="216"/>
      <c r="N285"/>
    </row>
    <row r="286" spans="1:23" s="6" customFormat="1" ht="15.75">
      <c r="A286"/>
      <c r="B286" s="248" t="s">
        <v>480</v>
      </c>
      <c r="C286" s="320">
        <v>11.08</v>
      </c>
      <c r="D286" s="320"/>
      <c r="E286" s="8" t="s">
        <v>413</v>
      </c>
      <c r="G286" s="8"/>
      <c r="J286" s="104"/>
      <c r="K286" s="139" t="s">
        <v>32</v>
      </c>
      <c r="L286" s="140">
        <v>5001.7</v>
      </c>
      <c r="M286" s="138" t="s">
        <v>484</v>
      </c>
      <c r="N286" s="139" t="s">
        <v>31</v>
      </c>
      <c r="O286" s="144">
        <f>C286*L286</f>
        <v>55418.835999999996</v>
      </c>
      <c r="P286" s="221" t="s">
        <v>59</v>
      </c>
      <c r="T286" s="244" t="s">
        <v>371</v>
      </c>
      <c r="U286" s="364">
        <v>55403</v>
      </c>
      <c r="V286" s="364"/>
      <c r="W286" s="242"/>
    </row>
    <row r="287" spans="1:23" s="6" customFormat="1" ht="12.75">
      <c r="A287">
        <v>9</v>
      </c>
      <c r="B287" s="7" t="s">
        <v>447</v>
      </c>
      <c r="C287"/>
      <c r="D287"/>
      <c r="E287"/>
      <c r="F287"/>
      <c r="G287"/>
      <c r="H287"/>
      <c r="I287"/>
      <c r="J287"/>
      <c r="K287"/>
      <c r="L287"/>
      <c r="M287"/>
      <c r="N287"/>
      <c r="T287" s="244"/>
    </row>
    <row r="288" spans="1:23" s="6" customFormat="1" ht="12.75">
      <c r="A288"/>
      <c r="B288" s="7" t="s">
        <v>448</v>
      </c>
      <c r="C288"/>
      <c r="D288"/>
      <c r="E288"/>
      <c r="F288"/>
      <c r="G288"/>
      <c r="H288"/>
      <c r="I288"/>
      <c r="J288"/>
      <c r="K288"/>
      <c r="L288"/>
      <c r="M288"/>
      <c r="N288"/>
      <c r="T288" s="244"/>
    </row>
    <row r="289" spans="1:23" s="6" customFormat="1" ht="12.75">
      <c r="A289"/>
      <c r="B289" s="7" t="s">
        <v>449</v>
      </c>
      <c r="C289"/>
      <c r="D289"/>
      <c r="E289"/>
      <c r="F289"/>
      <c r="G289"/>
      <c r="H289"/>
      <c r="I289"/>
      <c r="J289"/>
      <c r="K289"/>
      <c r="L289"/>
      <c r="M289"/>
      <c r="N289"/>
      <c r="T289" s="244"/>
    </row>
    <row r="290" spans="1:23" s="6" customFormat="1" ht="8.25" customHeight="1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T290" s="244"/>
    </row>
    <row r="291" spans="1:23" s="6" customFormat="1" ht="15.75">
      <c r="A291"/>
      <c r="B291" s="248" t="s">
        <v>480</v>
      </c>
      <c r="C291" s="320">
        <v>54.95</v>
      </c>
      <c r="D291" s="320"/>
      <c r="E291" s="8" t="s">
        <v>12</v>
      </c>
      <c r="G291" s="8"/>
      <c r="J291" s="104"/>
      <c r="K291" s="139" t="s">
        <v>32</v>
      </c>
      <c r="L291" s="140">
        <v>86</v>
      </c>
      <c r="M291" s="138" t="s">
        <v>410</v>
      </c>
      <c r="N291" s="139" t="s">
        <v>31</v>
      </c>
      <c r="O291" s="144">
        <f>C291*L291</f>
        <v>4725.7</v>
      </c>
      <c r="P291" s="221" t="s">
        <v>88</v>
      </c>
      <c r="T291" s="244" t="s">
        <v>371</v>
      </c>
      <c r="U291" s="364">
        <v>4726</v>
      </c>
      <c r="V291" s="364"/>
      <c r="W291" s="242"/>
    </row>
    <row r="292" spans="1:23" s="6" customFormat="1" ht="12.7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T292" s="244"/>
      <c r="U292" s="245"/>
      <c r="V292" s="245"/>
    </row>
    <row r="293" spans="1:23" s="6" customFormat="1" ht="12.75">
      <c r="A293">
        <v>10</v>
      </c>
      <c r="B293" s="7" t="s">
        <v>434</v>
      </c>
      <c r="C293"/>
      <c r="D293"/>
      <c r="E293"/>
      <c r="F293"/>
      <c r="G293"/>
      <c r="H293"/>
      <c r="I293"/>
      <c r="J293"/>
      <c r="K293"/>
      <c r="L293"/>
      <c r="M293"/>
      <c r="N293"/>
      <c r="T293" s="244"/>
      <c r="U293" s="245"/>
      <c r="V293" s="245"/>
    </row>
    <row r="294" spans="1:23" s="6" customFormat="1" ht="12.7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T294" s="244"/>
      <c r="U294" s="245"/>
      <c r="V294" s="245"/>
    </row>
    <row r="295" spans="1:23" s="6" customFormat="1" ht="15.75">
      <c r="A295"/>
      <c r="B295" s="248" t="s">
        <v>480</v>
      </c>
      <c r="C295" s="320">
        <v>200.96</v>
      </c>
      <c r="D295" s="320"/>
      <c r="E295" s="8" t="s">
        <v>10</v>
      </c>
      <c r="G295" s="8"/>
      <c r="J295" s="104"/>
      <c r="K295" s="139" t="s">
        <v>32</v>
      </c>
      <c r="L295" s="140">
        <v>3015.76</v>
      </c>
      <c r="M295" s="138" t="s">
        <v>482</v>
      </c>
      <c r="N295" s="139" t="s">
        <v>31</v>
      </c>
      <c r="O295" s="144">
        <f>C295*L295/100</f>
        <v>6060.4712960000006</v>
      </c>
      <c r="P295" s="221" t="s">
        <v>9</v>
      </c>
      <c r="T295" s="244" t="s">
        <v>371</v>
      </c>
      <c r="U295" s="364">
        <v>6060</v>
      </c>
      <c r="V295" s="364"/>
      <c r="W295" s="242"/>
    </row>
    <row r="296" spans="1:23" s="6" customFormat="1" ht="12.7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T296" s="244"/>
    </row>
    <row r="297" spans="1:23" s="6" customFormat="1" ht="12.75">
      <c r="A297">
        <v>11</v>
      </c>
      <c r="B297" t="s">
        <v>450</v>
      </c>
      <c r="C297"/>
      <c r="D297"/>
      <c r="E297"/>
      <c r="F297"/>
      <c r="G297"/>
      <c r="H297"/>
      <c r="I297"/>
      <c r="J297"/>
      <c r="K297"/>
      <c r="L297"/>
      <c r="M297"/>
      <c r="N297"/>
      <c r="T297" s="244"/>
    </row>
    <row r="298" spans="1:23" s="6" customFormat="1" ht="12.75">
      <c r="A298"/>
      <c r="B298" t="s">
        <v>451</v>
      </c>
      <c r="C298"/>
      <c r="D298"/>
      <c r="E298"/>
      <c r="F298"/>
      <c r="G298"/>
      <c r="H298"/>
      <c r="I298"/>
      <c r="J298"/>
      <c r="K298"/>
      <c r="L298"/>
      <c r="M298"/>
      <c r="N298"/>
      <c r="T298" s="244"/>
    </row>
    <row r="299" spans="1:23" s="6" customFormat="1" ht="12.7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T299" s="244"/>
    </row>
    <row r="300" spans="1:23" s="6" customFormat="1" ht="15.75">
      <c r="A300"/>
      <c r="B300"/>
      <c r="C300" s="320">
        <v>3.83</v>
      </c>
      <c r="D300" s="320"/>
      <c r="E300" s="221" t="s">
        <v>479</v>
      </c>
      <c r="F300" s="8"/>
      <c r="G300" s="8"/>
      <c r="J300" s="104"/>
      <c r="K300" s="139" t="s">
        <v>32</v>
      </c>
      <c r="L300" s="140">
        <v>125</v>
      </c>
      <c r="M300" s="138" t="s">
        <v>485</v>
      </c>
      <c r="N300" s="139" t="s">
        <v>31</v>
      </c>
      <c r="O300" s="144">
        <f>C300*L300</f>
        <v>478.75</v>
      </c>
      <c r="P300" s="221" t="s">
        <v>9</v>
      </c>
      <c r="T300" s="244" t="s">
        <v>371</v>
      </c>
      <c r="U300" s="365">
        <v>478</v>
      </c>
      <c r="V300" s="365"/>
      <c r="W300" s="243"/>
    </row>
    <row r="301" spans="1:23" s="6" customFormat="1" ht="12.7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</row>
    <row r="302" spans="1:23" s="6" customFormat="1" ht="57" customHeight="1">
      <c r="A302" s="70">
        <v>12</v>
      </c>
      <c r="B302" s="366" t="s">
        <v>452</v>
      </c>
      <c r="C302" s="366"/>
      <c r="D302" s="366"/>
      <c r="E302" s="366"/>
      <c r="F302" s="366"/>
      <c r="G302" s="366"/>
      <c r="H302" s="366"/>
      <c r="I302" s="366"/>
      <c r="J302" s="366"/>
      <c r="K302" s="366"/>
      <c r="L302" s="366"/>
      <c r="M302" s="366"/>
      <c r="N302" s="366"/>
    </row>
    <row r="303" spans="1:23" s="6" customFormat="1" ht="12.7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</row>
    <row r="304" spans="1:23" s="6" customFormat="1" ht="15.75">
      <c r="A304"/>
      <c r="B304" s="7" t="s">
        <v>486</v>
      </c>
      <c r="C304" s="320">
        <v>6</v>
      </c>
      <c r="D304" s="320"/>
      <c r="E304" s="221" t="s">
        <v>12</v>
      </c>
      <c r="F304" s="8"/>
      <c r="G304" s="8"/>
      <c r="J304" s="104"/>
      <c r="K304" s="139" t="s">
        <v>32</v>
      </c>
      <c r="L304" s="140">
        <v>62.38</v>
      </c>
      <c r="M304" s="138" t="s">
        <v>410</v>
      </c>
      <c r="N304" s="139" t="s">
        <v>31</v>
      </c>
      <c r="O304" s="144">
        <f>C304*L304</f>
        <v>374.28000000000003</v>
      </c>
      <c r="P304" s="221" t="s">
        <v>9</v>
      </c>
      <c r="T304" s="244" t="s">
        <v>371</v>
      </c>
      <c r="U304" s="365">
        <v>478</v>
      </c>
      <c r="V304" s="365"/>
      <c r="W304" s="243"/>
    </row>
    <row r="305" spans="1:23" s="6" customFormat="1" ht="12.7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</row>
    <row r="306" spans="1:23" s="6" customFormat="1" ht="15.75">
      <c r="A306"/>
      <c r="B306" s="7"/>
      <c r="C306" s="320">
        <v>23</v>
      </c>
      <c r="D306" s="320"/>
      <c r="E306" s="221" t="s">
        <v>12</v>
      </c>
      <c r="F306" s="8"/>
      <c r="G306" s="8"/>
      <c r="J306" s="104"/>
      <c r="K306" s="139" t="s">
        <v>32</v>
      </c>
      <c r="L306" s="140">
        <v>304.02</v>
      </c>
      <c r="M306" s="138" t="s">
        <v>410</v>
      </c>
      <c r="N306" s="139" t="s">
        <v>31</v>
      </c>
      <c r="O306" s="144">
        <f>C306*L306</f>
        <v>6992.4599999999991</v>
      </c>
      <c r="P306" s="221" t="s">
        <v>9</v>
      </c>
      <c r="T306" s="244" t="s">
        <v>371</v>
      </c>
      <c r="U306" s="365">
        <v>478</v>
      </c>
      <c r="V306" s="365"/>
      <c r="W306" s="243"/>
    </row>
    <row r="307" spans="1:23" s="6" customFormat="1" ht="15.75">
      <c r="A307"/>
      <c r="B307"/>
      <c r="C307" s="215"/>
      <c r="D307" s="215"/>
      <c r="E307" s="221"/>
      <c r="F307" s="8"/>
      <c r="G307" s="8"/>
      <c r="H307" s="104"/>
      <c r="I307" s="215"/>
      <c r="J307" s="215"/>
      <c r="K307" s="221"/>
      <c r="L307" s="221"/>
      <c r="M307" s="214"/>
      <c r="N307" s="221"/>
    </row>
    <row r="308" spans="1:23" s="6" customFormat="1" ht="12.75">
      <c r="A308">
        <v>13</v>
      </c>
      <c r="B308" t="s">
        <v>454</v>
      </c>
      <c r="C308"/>
      <c r="D308"/>
      <c r="E308"/>
      <c r="F308"/>
      <c r="G308"/>
      <c r="H308"/>
      <c r="I308"/>
      <c r="J308"/>
      <c r="K308"/>
      <c r="L308"/>
      <c r="M308"/>
      <c r="N308"/>
    </row>
    <row r="309" spans="1:23" s="6" customFormat="1" ht="12.75">
      <c r="A309"/>
      <c r="B309" t="s">
        <v>455</v>
      </c>
      <c r="C309"/>
      <c r="D309"/>
      <c r="E309"/>
      <c r="F309"/>
      <c r="G309"/>
      <c r="H309"/>
      <c r="I309"/>
      <c r="J309"/>
      <c r="K309"/>
      <c r="L309"/>
      <c r="M309"/>
      <c r="N309"/>
    </row>
    <row r="310" spans="1:23" s="6" customFormat="1" ht="15.75">
      <c r="A310"/>
      <c r="B310" s="7" t="s">
        <v>384</v>
      </c>
      <c r="C310" s="320">
        <v>8</v>
      </c>
      <c r="D310" s="320"/>
      <c r="E310" s="221" t="s">
        <v>391</v>
      </c>
      <c r="F310" s="8"/>
      <c r="G310" s="8"/>
      <c r="J310" s="104"/>
      <c r="K310" s="139" t="s">
        <v>32</v>
      </c>
      <c r="L310" s="140">
        <v>500.89</v>
      </c>
      <c r="M310" s="138" t="s">
        <v>390</v>
      </c>
      <c r="N310" s="139" t="s">
        <v>31</v>
      </c>
      <c r="O310" s="144">
        <f>C310*L310</f>
        <v>4007.12</v>
      </c>
      <c r="P310" s="221" t="s">
        <v>9</v>
      </c>
      <c r="T310" s="244" t="s">
        <v>371</v>
      </c>
      <c r="U310" s="365">
        <v>478</v>
      </c>
      <c r="V310" s="365"/>
      <c r="W310" s="243"/>
    </row>
    <row r="311" spans="1:23" s="6" customFormat="1" ht="12.7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</row>
    <row r="312" spans="1:23" s="6" customFormat="1" ht="12.7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</row>
    <row r="313" spans="1:23" s="6" customFormat="1" ht="12.75">
      <c r="A313">
        <v>14</v>
      </c>
      <c r="B313" t="s">
        <v>456</v>
      </c>
      <c r="C313"/>
      <c r="D313"/>
      <c r="E313"/>
      <c r="F313"/>
      <c r="G313"/>
      <c r="H313"/>
      <c r="I313"/>
      <c r="J313"/>
      <c r="K313"/>
      <c r="L313"/>
      <c r="M313"/>
      <c r="N313"/>
    </row>
    <row r="314" spans="1:23" s="6" customFormat="1" ht="12.75">
      <c r="A314"/>
      <c r="B314" t="s">
        <v>457</v>
      </c>
      <c r="C314"/>
      <c r="D314"/>
      <c r="E314"/>
      <c r="F314"/>
      <c r="G314"/>
      <c r="H314"/>
      <c r="I314"/>
      <c r="J314"/>
      <c r="K314"/>
      <c r="L314"/>
      <c r="M314"/>
      <c r="N314"/>
    </row>
    <row r="315" spans="1:23" s="6" customFormat="1" ht="12.7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</row>
    <row r="316" spans="1:23" s="251" customFormat="1" ht="15.75">
      <c r="A316" s="249"/>
      <c r="B316" s="249" t="s">
        <v>453</v>
      </c>
      <c r="C316" s="367">
        <v>4</v>
      </c>
      <c r="D316" s="367"/>
      <c r="E316" s="250" t="s">
        <v>391</v>
      </c>
      <c r="G316" s="250"/>
      <c r="J316" s="252"/>
      <c r="K316" s="253" t="s">
        <v>32</v>
      </c>
      <c r="L316" s="254">
        <v>348</v>
      </c>
      <c r="M316" s="255" t="s">
        <v>414</v>
      </c>
      <c r="N316" s="253" t="s">
        <v>31</v>
      </c>
      <c r="O316" s="256">
        <f>C316*L316</f>
        <v>1392</v>
      </c>
      <c r="P316" s="257" t="s">
        <v>390</v>
      </c>
      <c r="T316" s="258" t="s">
        <v>371</v>
      </c>
      <c r="U316" s="367" t="e">
        <f>K316*C316</f>
        <v>#VALUE!</v>
      </c>
      <c r="V316" s="367"/>
      <c r="W316" s="259"/>
    </row>
    <row r="317" spans="1:23" s="6" customFormat="1" ht="12.7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</row>
    <row r="318" spans="1:23" s="6" customFormat="1" ht="12.75">
      <c r="A318">
        <v>15</v>
      </c>
      <c r="B318" t="s">
        <v>458</v>
      </c>
      <c r="C318"/>
      <c r="D318"/>
      <c r="E318"/>
      <c r="F318"/>
      <c r="G318"/>
      <c r="H318"/>
      <c r="I318"/>
      <c r="J318"/>
      <c r="K318"/>
      <c r="L318"/>
      <c r="M318"/>
      <c r="N318"/>
    </row>
    <row r="319" spans="1:23" s="6" customFormat="1" ht="12.75">
      <c r="A319"/>
      <c r="B319" t="s">
        <v>459</v>
      </c>
      <c r="C319"/>
      <c r="D319"/>
      <c r="E319"/>
      <c r="F319"/>
      <c r="G319"/>
      <c r="H319"/>
      <c r="I319"/>
      <c r="J319"/>
      <c r="K319"/>
      <c r="L319"/>
      <c r="M319"/>
      <c r="N319"/>
    </row>
    <row r="320" spans="1:23" s="6" customFormat="1" ht="12.7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</row>
    <row r="321" spans="1:23" s="6" customFormat="1" ht="15.75">
      <c r="A321"/>
      <c r="B321" s="7"/>
      <c r="C321" s="320">
        <v>0.57999999999999996</v>
      </c>
      <c r="D321" s="320"/>
      <c r="E321" s="221" t="s">
        <v>413</v>
      </c>
      <c r="F321" s="8"/>
      <c r="G321" s="8"/>
      <c r="J321" s="104"/>
      <c r="K321" s="139" t="s">
        <v>32</v>
      </c>
      <c r="L321" s="140">
        <v>6096</v>
      </c>
      <c r="M321" s="138" t="s">
        <v>414</v>
      </c>
      <c r="N321" s="139" t="s">
        <v>31</v>
      </c>
      <c r="O321" s="144">
        <f>C321*L321</f>
        <v>3535.68</v>
      </c>
      <c r="P321" s="221" t="s">
        <v>9</v>
      </c>
      <c r="T321" s="244" t="s">
        <v>371</v>
      </c>
      <c r="U321" s="365">
        <v>478</v>
      </c>
      <c r="V321" s="365"/>
      <c r="W321" s="243"/>
    </row>
    <row r="322" spans="1:23" s="6" customFormat="1" ht="12.7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</row>
    <row r="323" spans="1:23" s="6" customFormat="1" ht="12.75">
      <c r="A323">
        <v>16</v>
      </c>
      <c r="B323" t="s">
        <v>460</v>
      </c>
      <c r="C323"/>
      <c r="D323"/>
      <c r="E323"/>
      <c r="F323"/>
      <c r="G323"/>
      <c r="H323"/>
      <c r="I323"/>
      <c r="J323"/>
      <c r="K323"/>
      <c r="L323"/>
      <c r="M323"/>
      <c r="N323"/>
    </row>
    <row r="324" spans="1:23" s="6" customFormat="1" ht="12.7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</row>
    <row r="325" spans="1:23" s="6" customFormat="1" ht="15.75">
      <c r="A325"/>
      <c r="B325" s="7"/>
      <c r="C325" s="327">
        <v>1</v>
      </c>
      <c r="D325" s="327"/>
      <c r="E325" s="221" t="s">
        <v>395</v>
      </c>
      <c r="F325" s="8"/>
      <c r="G325" s="8"/>
      <c r="J325" s="104"/>
      <c r="K325" s="139" t="s">
        <v>32</v>
      </c>
      <c r="L325" s="140">
        <v>375</v>
      </c>
      <c r="M325" s="138" t="s">
        <v>414</v>
      </c>
      <c r="N325" s="139" t="s">
        <v>31</v>
      </c>
      <c r="O325" s="144">
        <f>C325*L325</f>
        <v>375</v>
      </c>
      <c r="P325" s="221" t="s">
        <v>9</v>
      </c>
      <c r="T325" s="244" t="s">
        <v>371</v>
      </c>
      <c r="U325" s="365">
        <v>478</v>
      </c>
      <c r="V325" s="365"/>
      <c r="W325" s="243"/>
    </row>
    <row r="326" spans="1:23" s="6" customFormat="1" ht="9" customHeight="1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U326" s="8"/>
      <c r="V326" s="8"/>
    </row>
    <row r="327" spans="1:23" s="6" customFormat="1" ht="15.75">
      <c r="A327">
        <v>17</v>
      </c>
      <c r="B327" s="7" t="s">
        <v>461</v>
      </c>
      <c r="C327"/>
      <c r="D327"/>
      <c r="E327"/>
      <c r="F327"/>
      <c r="G327"/>
      <c r="H327"/>
      <c r="I327"/>
      <c r="J327"/>
      <c r="K327"/>
      <c r="L327"/>
      <c r="M327"/>
      <c r="N327"/>
      <c r="U327" s="8"/>
      <c r="V327" s="8"/>
    </row>
    <row r="328" spans="1:23" s="6" customFormat="1" ht="15.75">
      <c r="A328"/>
      <c r="B328" s="7" t="s">
        <v>462</v>
      </c>
      <c r="C328"/>
      <c r="D328"/>
      <c r="E328"/>
      <c r="F328"/>
      <c r="G328"/>
      <c r="H328"/>
      <c r="I328"/>
      <c r="J328"/>
      <c r="K328"/>
      <c r="L328"/>
      <c r="M328"/>
      <c r="N328"/>
      <c r="U328" s="8"/>
      <c r="V328" s="8"/>
    </row>
    <row r="329" spans="1:23" s="6" customFormat="1" ht="15.75">
      <c r="A329"/>
      <c r="B329" s="7" t="s">
        <v>463</v>
      </c>
      <c r="C329"/>
      <c r="D329"/>
      <c r="E329"/>
      <c r="F329"/>
      <c r="G329"/>
      <c r="H329"/>
      <c r="I329"/>
      <c r="J329"/>
      <c r="K329"/>
      <c r="L329"/>
      <c r="M329"/>
      <c r="N329"/>
      <c r="U329" s="8"/>
      <c r="V329" s="8"/>
    </row>
    <row r="330" spans="1:23" s="6" customFormat="1" ht="15.75">
      <c r="A330"/>
      <c r="B330" s="7" t="s">
        <v>464</v>
      </c>
      <c r="C330"/>
      <c r="D330"/>
      <c r="E330"/>
      <c r="F330"/>
      <c r="G330"/>
      <c r="H330"/>
      <c r="I330"/>
      <c r="J330"/>
      <c r="K330"/>
      <c r="L330"/>
      <c r="M330"/>
      <c r="N330"/>
      <c r="U330" s="8"/>
      <c r="V330" s="8"/>
    </row>
    <row r="331" spans="1:23" s="6" customFormat="1" ht="11.25" customHeight="1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U331" s="8"/>
      <c r="V331" s="8"/>
    </row>
    <row r="332" spans="1:23" s="6" customFormat="1" ht="15.75">
      <c r="A332"/>
      <c r="B332" s="7" t="s">
        <v>384</v>
      </c>
      <c r="C332" s="327">
        <v>6</v>
      </c>
      <c r="D332" s="327"/>
      <c r="E332" s="221" t="s">
        <v>391</v>
      </c>
      <c r="F332" s="8"/>
      <c r="G332" s="8"/>
      <c r="J332" s="104"/>
      <c r="K332" s="139" t="s">
        <v>32</v>
      </c>
      <c r="L332" s="140">
        <v>499</v>
      </c>
      <c r="M332" s="138" t="s">
        <v>487</v>
      </c>
      <c r="N332" s="139" t="s">
        <v>31</v>
      </c>
      <c r="O332" s="144">
        <f>C332*L332</f>
        <v>2994</v>
      </c>
      <c r="P332" s="221" t="s">
        <v>9</v>
      </c>
      <c r="T332" s="244" t="s">
        <v>371</v>
      </c>
      <c r="U332" s="365">
        <v>478</v>
      </c>
      <c r="V332" s="365"/>
      <c r="W332" s="243"/>
    </row>
    <row r="333" spans="1:23" s="6" customFormat="1" ht="12.75">
      <c r="A333">
        <v>18</v>
      </c>
      <c r="B333" s="7" t="s">
        <v>465</v>
      </c>
      <c r="C333"/>
      <c r="D333"/>
      <c r="E333"/>
      <c r="F333"/>
      <c r="G333"/>
      <c r="H333"/>
      <c r="I333"/>
      <c r="J333"/>
      <c r="K333"/>
      <c r="L333"/>
      <c r="M333"/>
      <c r="N333"/>
    </row>
    <row r="334" spans="1:23" s="6" customFormat="1" ht="12.75">
      <c r="A334"/>
      <c r="B334" s="7" t="s">
        <v>466</v>
      </c>
      <c r="C334"/>
      <c r="D334"/>
      <c r="E334" s="299"/>
      <c r="F334" s="299"/>
      <c r="G334" s="299"/>
      <c r="H334" s="299"/>
      <c r="I334" s="299"/>
      <c r="J334"/>
      <c r="K334"/>
      <c r="L334"/>
      <c r="M334"/>
      <c r="N334"/>
    </row>
    <row r="335" spans="1:23" s="6" customFormat="1" ht="12.7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</row>
    <row r="336" spans="1:23" s="6" customFormat="1" ht="15.75">
      <c r="A336"/>
      <c r="B336" s="7"/>
      <c r="C336" s="320">
        <v>0.5</v>
      </c>
      <c r="D336" s="320"/>
      <c r="E336" s="221" t="s">
        <v>413</v>
      </c>
      <c r="F336" s="8"/>
      <c r="G336" s="8"/>
      <c r="J336" s="104"/>
      <c r="K336" s="139" t="s">
        <v>32</v>
      </c>
      <c r="L336" s="140">
        <v>6985</v>
      </c>
      <c r="M336" s="138" t="s">
        <v>265</v>
      </c>
      <c r="N336" s="139" t="s">
        <v>31</v>
      </c>
      <c r="O336" s="144">
        <f>C336*L336</f>
        <v>3492.5</v>
      </c>
      <c r="P336" s="221" t="s">
        <v>9</v>
      </c>
      <c r="T336" s="244" t="s">
        <v>371</v>
      </c>
      <c r="U336" s="365">
        <v>478</v>
      </c>
      <c r="V336" s="365"/>
      <c r="W336" s="243"/>
    </row>
    <row r="337" spans="1:23" s="6" customFormat="1" ht="12.75">
      <c r="A337">
        <v>19</v>
      </c>
      <c r="B337" s="7" t="s">
        <v>467</v>
      </c>
      <c r="C337"/>
      <c r="D337"/>
      <c r="E337"/>
      <c r="F337"/>
      <c r="G337"/>
      <c r="H337"/>
      <c r="I337"/>
      <c r="J337"/>
      <c r="K337"/>
      <c r="L337"/>
      <c r="M337"/>
      <c r="N337"/>
    </row>
    <row r="338" spans="1:23" s="6" customFormat="1" ht="12.75">
      <c r="A338"/>
      <c r="B338" s="7"/>
      <c r="C338"/>
      <c r="D338"/>
      <c r="E338"/>
      <c r="F338"/>
      <c r="G338"/>
      <c r="H338"/>
      <c r="I338"/>
      <c r="J338"/>
      <c r="K338"/>
      <c r="L338"/>
      <c r="M338"/>
      <c r="N338"/>
    </row>
    <row r="339" spans="1:23" s="6" customFormat="1" ht="15.75">
      <c r="A339"/>
      <c r="B339" s="7" t="s">
        <v>384</v>
      </c>
      <c r="C339" s="327">
        <v>1</v>
      </c>
      <c r="D339" s="327"/>
      <c r="E339" s="221" t="s">
        <v>395</v>
      </c>
      <c r="F339" s="8"/>
      <c r="G339" s="8"/>
      <c r="J339" s="104"/>
      <c r="K339" s="139" t="s">
        <v>32</v>
      </c>
      <c r="L339" s="140">
        <v>4290</v>
      </c>
      <c r="M339" s="138" t="s">
        <v>390</v>
      </c>
      <c r="N339" s="139" t="s">
        <v>31</v>
      </c>
      <c r="O339" s="144">
        <f>C339*L339</f>
        <v>4290</v>
      </c>
      <c r="P339" s="221" t="s">
        <v>9</v>
      </c>
      <c r="T339" s="244" t="s">
        <v>371</v>
      </c>
      <c r="U339" s="365">
        <v>478</v>
      </c>
      <c r="V339" s="365"/>
      <c r="W339" s="243"/>
    </row>
    <row r="340" spans="1:23" s="6" customFormat="1" ht="14.25" customHeight="1">
      <c r="A340">
        <v>20</v>
      </c>
      <c r="B340" s="7" t="s">
        <v>468</v>
      </c>
      <c r="C340"/>
      <c r="D340"/>
      <c r="E340"/>
      <c r="F340"/>
      <c r="G340"/>
      <c r="H340"/>
      <c r="I340"/>
      <c r="J340"/>
      <c r="K340"/>
      <c r="L340"/>
      <c r="M340"/>
      <c r="N340"/>
    </row>
    <row r="341" spans="1:23" s="6" customFormat="1" ht="12.75">
      <c r="A341"/>
      <c r="B341" s="7" t="s">
        <v>469</v>
      </c>
      <c r="C341"/>
      <c r="D341"/>
      <c r="E341"/>
      <c r="F341"/>
      <c r="G341"/>
      <c r="H341"/>
      <c r="I341"/>
      <c r="J341"/>
      <c r="K341"/>
      <c r="L341"/>
      <c r="M341"/>
      <c r="N341"/>
    </row>
    <row r="342" spans="1:23" s="6" customFormat="1" ht="12.7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</row>
    <row r="343" spans="1:23" s="6" customFormat="1" ht="15.75">
      <c r="A343"/>
      <c r="B343" s="7"/>
      <c r="C343" s="327">
        <v>1</v>
      </c>
      <c r="D343" s="327"/>
      <c r="E343" s="221" t="s">
        <v>395</v>
      </c>
      <c r="F343" s="8"/>
      <c r="G343" s="8"/>
      <c r="J343" s="104"/>
      <c r="K343" s="139" t="s">
        <v>32</v>
      </c>
      <c r="L343" s="140">
        <v>4870</v>
      </c>
      <c r="M343" s="138" t="s">
        <v>390</v>
      </c>
      <c r="N343" s="139" t="s">
        <v>31</v>
      </c>
      <c r="O343" s="144">
        <f>C343*L343</f>
        <v>4870</v>
      </c>
      <c r="P343" s="221" t="s">
        <v>9</v>
      </c>
      <c r="T343" s="244" t="s">
        <v>371</v>
      </c>
      <c r="U343" s="365">
        <v>478</v>
      </c>
      <c r="V343" s="365"/>
      <c r="W343" s="243"/>
    </row>
    <row r="344" spans="1:23" s="6" customFormat="1" ht="15.75">
      <c r="A344"/>
      <c r="B344"/>
      <c r="C344"/>
      <c r="D344"/>
      <c r="E344"/>
      <c r="F344"/>
      <c r="G344"/>
      <c r="H344"/>
      <c r="I344"/>
      <c r="J344"/>
      <c r="K344"/>
      <c r="L344"/>
      <c r="M344" s="214"/>
      <c r="N344" s="260"/>
      <c r="O344" s="260"/>
      <c r="P344" s="260"/>
      <c r="R344" s="246" t="s">
        <v>6</v>
      </c>
      <c r="T344" s="247" t="s">
        <v>31</v>
      </c>
      <c r="U344" s="368" t="e">
        <f>SUM(U244:U343)</f>
        <v>#VALUE!</v>
      </c>
      <c r="V344" s="369"/>
      <c r="W344" s="369"/>
    </row>
    <row r="345" spans="1:23" ht="21.75" customHeight="1">
      <c r="M345" s="64" t="s">
        <v>421</v>
      </c>
      <c r="N345" s="64" t="s">
        <v>7</v>
      </c>
      <c r="O345" s="261">
        <v>230468</v>
      </c>
    </row>
    <row r="346" spans="1:23" ht="21.75" customHeight="1">
      <c r="F346" s="351">
        <f>O345</f>
        <v>230468</v>
      </c>
      <c r="G346" s="351"/>
      <c r="H346" s="351"/>
      <c r="I346" s="64" t="s">
        <v>4</v>
      </c>
      <c r="J346" s="64">
        <v>2</v>
      </c>
      <c r="N346" s="64" t="s">
        <v>7</v>
      </c>
      <c r="O346" s="261">
        <f>O345*J346</f>
        <v>460936</v>
      </c>
    </row>
    <row r="347" spans="1:23" s="30" customFormat="1" ht="19.5" customHeight="1">
      <c r="A347" s="195"/>
      <c r="B347" s="195" t="s">
        <v>407</v>
      </c>
      <c r="C347" s="195"/>
      <c r="D347" s="195"/>
      <c r="E347" s="195"/>
      <c r="F347" s="195"/>
      <c r="G347" s="195"/>
      <c r="H347" s="195"/>
      <c r="I347" s="195"/>
    </row>
    <row r="348" spans="1:23" s="30" customFormat="1" ht="9.75" customHeight="1">
      <c r="A348" s="347"/>
      <c r="B348" s="347"/>
      <c r="C348" s="347"/>
      <c r="D348" s="347"/>
      <c r="E348" s="347"/>
      <c r="F348" s="347"/>
      <c r="G348" s="347"/>
      <c r="H348" s="347"/>
      <c r="I348" s="347"/>
    </row>
    <row r="349" spans="1:23" s="30" customFormat="1" ht="212.25" customHeight="1">
      <c r="A349" s="187">
        <v>1</v>
      </c>
      <c r="B349" s="348" t="s">
        <v>402</v>
      </c>
      <c r="C349" s="348"/>
      <c r="D349" s="348"/>
      <c r="E349" s="348"/>
      <c r="F349" s="348"/>
      <c r="G349" s="348"/>
      <c r="H349" s="348"/>
      <c r="I349" s="348"/>
      <c r="J349" s="348"/>
      <c r="K349" s="348"/>
      <c r="L349" s="348"/>
      <c r="M349" s="348"/>
    </row>
    <row r="350" spans="1:23" s="30" customFormat="1" ht="8.25" customHeight="1">
      <c r="A350" s="187"/>
      <c r="B350" s="188"/>
      <c r="C350" s="188"/>
      <c r="D350" s="188"/>
      <c r="E350" s="188"/>
      <c r="F350" s="188"/>
      <c r="G350" s="188"/>
      <c r="H350" s="188"/>
      <c r="I350" s="188"/>
      <c r="J350" s="189"/>
      <c r="K350" s="189"/>
      <c r="L350" s="190"/>
    </row>
    <row r="351" spans="1:23" s="30" customFormat="1" ht="15" customHeight="1">
      <c r="A351" s="187"/>
      <c r="B351" s="188" t="s">
        <v>403</v>
      </c>
      <c r="C351" s="188">
        <v>2</v>
      </c>
      <c r="D351" s="188" t="s">
        <v>404</v>
      </c>
      <c r="E351" s="188"/>
      <c r="F351" s="188"/>
      <c r="G351" s="188"/>
      <c r="H351" s="188"/>
      <c r="I351" s="138"/>
      <c r="J351" s="138"/>
      <c r="K351" s="139" t="s">
        <v>13</v>
      </c>
      <c r="L351" s="144">
        <v>1056381</v>
      </c>
      <c r="M351" s="138" t="s">
        <v>405</v>
      </c>
      <c r="N351" s="139" t="s">
        <v>31</v>
      </c>
      <c r="O351" s="144">
        <f>L351*C351</f>
        <v>2112762</v>
      </c>
      <c r="P351" s="139" t="s">
        <v>13</v>
      </c>
      <c r="Q351" s="140">
        <f t="shared" ref="Q351" si="11">V351*1.5</f>
        <v>0</v>
      </c>
      <c r="R351" s="138"/>
      <c r="S351" s="139"/>
      <c r="T351" s="144"/>
    </row>
    <row r="352" spans="1:23" s="30" customFormat="1" ht="17.25" customHeight="1">
      <c r="A352" s="187" t="s">
        <v>33</v>
      </c>
      <c r="B352" s="196" t="s">
        <v>406</v>
      </c>
      <c r="C352" s="188"/>
      <c r="D352" s="188"/>
      <c r="E352" s="188"/>
      <c r="F352" s="188"/>
      <c r="G352" s="188"/>
      <c r="H352" s="188"/>
      <c r="I352" s="138"/>
      <c r="J352" s="138"/>
      <c r="K352" s="139"/>
      <c r="L352" s="144"/>
      <c r="M352" s="138"/>
      <c r="N352" s="139"/>
      <c r="O352" s="144"/>
      <c r="P352" s="139"/>
      <c r="Q352" s="140"/>
      <c r="R352" s="138"/>
      <c r="S352" s="139"/>
      <c r="T352" s="144"/>
    </row>
    <row r="353" spans="1:20" s="30" customFormat="1" ht="6.75" customHeight="1">
      <c r="A353" s="187"/>
      <c r="B353" s="196"/>
      <c r="C353" s="188"/>
      <c r="D353" s="188"/>
      <c r="E353" s="188"/>
      <c r="F353" s="188"/>
      <c r="G353" s="188"/>
      <c r="H353" s="188"/>
      <c r="I353" s="138"/>
      <c r="J353" s="138"/>
      <c r="K353" s="139"/>
      <c r="L353" s="144"/>
      <c r="M353" s="138"/>
      <c r="N353" s="139"/>
      <c r="O353" s="144"/>
      <c r="P353" s="139"/>
      <c r="Q353" s="140"/>
      <c r="R353" s="138"/>
      <c r="S353" s="139"/>
      <c r="T353" s="144"/>
    </row>
    <row r="354" spans="1:20" s="159" customFormat="1" ht="69" customHeight="1">
      <c r="A354" s="156">
        <v>1</v>
      </c>
      <c r="B354" s="349" t="s">
        <v>408</v>
      </c>
      <c r="C354" s="349"/>
      <c r="D354" s="349"/>
      <c r="E354" s="349"/>
      <c r="F354" s="349"/>
      <c r="G354" s="349"/>
      <c r="H354" s="349"/>
      <c r="I354" s="349"/>
      <c r="J354" s="349"/>
      <c r="K354" s="349"/>
      <c r="L354" s="349"/>
    </row>
    <row r="355" spans="1:20" s="157" customFormat="1" ht="15" customHeight="1">
      <c r="A355" s="156"/>
      <c r="B355" s="197" t="s">
        <v>409</v>
      </c>
      <c r="C355" s="197"/>
      <c r="D355" s="156"/>
      <c r="E355" s="156"/>
      <c r="F355" s="197"/>
      <c r="G355" s="198"/>
      <c r="H355" s="197"/>
      <c r="I355" s="169"/>
    </row>
    <row r="356" spans="1:20" s="159" customFormat="1" ht="15" customHeight="1">
      <c r="A356" s="154"/>
      <c r="B356" s="163">
        <v>40</v>
      </c>
      <c r="C356" s="168" t="s">
        <v>12</v>
      </c>
      <c r="D356" s="164"/>
      <c r="E356" s="165"/>
      <c r="F356" s="167"/>
      <c r="G356" s="164"/>
      <c r="H356" s="164"/>
      <c r="I356" s="192"/>
      <c r="J356" s="138"/>
      <c r="K356" s="139" t="s">
        <v>13</v>
      </c>
      <c r="L356" s="140">
        <v>360.4</v>
      </c>
      <c r="M356" s="138" t="s">
        <v>410</v>
      </c>
      <c r="N356" s="139" t="s">
        <v>31</v>
      </c>
      <c r="O356" s="144">
        <f>B356*L356</f>
        <v>14416</v>
      </c>
    </row>
    <row r="357" spans="1:20" s="193" customFormat="1" ht="15.75">
      <c r="A357" s="154"/>
      <c r="B357" s="164"/>
      <c r="C357" s="164"/>
      <c r="D357" s="164"/>
      <c r="E357" s="164"/>
      <c r="F357" s="164"/>
      <c r="G357" s="164"/>
      <c r="H357" s="164"/>
      <c r="I357" s="192"/>
      <c r="J357" s="155"/>
      <c r="K357" s="155"/>
    </row>
    <row r="358" spans="1:20" s="159" customFormat="1" ht="33.75" customHeight="1">
      <c r="A358" s="156">
        <v>2</v>
      </c>
      <c r="B358" s="349" t="s">
        <v>411</v>
      </c>
      <c r="C358" s="349"/>
      <c r="D358" s="349"/>
      <c r="E358" s="349"/>
      <c r="F358" s="349"/>
      <c r="G358" s="349"/>
      <c r="H358" s="349"/>
      <c r="I358" s="349"/>
      <c r="J358" s="349"/>
      <c r="K358" s="349"/>
      <c r="L358" s="349"/>
    </row>
    <row r="359" spans="1:20" s="157" customFormat="1" ht="21" customHeight="1">
      <c r="A359" s="156"/>
      <c r="B359" s="197" t="s">
        <v>409</v>
      </c>
      <c r="C359" s="197"/>
      <c r="D359" s="156"/>
      <c r="E359" s="156"/>
      <c r="F359" s="197"/>
      <c r="G359" s="198"/>
      <c r="H359" s="197"/>
      <c r="I359" s="169"/>
    </row>
    <row r="360" spans="1:20" s="159" customFormat="1" ht="15" customHeight="1">
      <c r="A360" s="154"/>
      <c r="B360" s="163">
        <v>8</v>
      </c>
      <c r="C360" s="168" t="s">
        <v>391</v>
      </c>
      <c r="D360" s="164"/>
      <c r="E360" s="165"/>
      <c r="F360" s="167"/>
      <c r="G360" s="164"/>
      <c r="H360" s="164"/>
      <c r="I360" s="192"/>
      <c r="J360" s="138"/>
      <c r="K360" s="139" t="s">
        <v>13</v>
      </c>
      <c r="L360" s="140">
        <v>589</v>
      </c>
      <c r="M360" s="138" t="s">
        <v>390</v>
      </c>
      <c r="N360" s="139" t="s">
        <v>31</v>
      </c>
      <c r="O360" s="144">
        <f>B360*L360</f>
        <v>4712</v>
      </c>
    </row>
    <row r="361" spans="1:20" s="8" customFormat="1" ht="15.75">
      <c r="A361" s="224"/>
      <c r="B361" s="138"/>
      <c r="C361" s="138"/>
      <c r="D361" s="63"/>
      <c r="E361" s="226"/>
      <c r="F361" s="226"/>
      <c r="G361" s="139"/>
      <c r="H361" s="138"/>
      <c r="I361" s="98"/>
      <c r="Q361" s="40"/>
    </row>
    <row r="362" spans="1:20" s="159" customFormat="1" ht="33.75" customHeight="1">
      <c r="A362" s="156">
        <v>3</v>
      </c>
      <c r="B362" s="349" t="s">
        <v>412</v>
      </c>
      <c r="C362" s="349"/>
      <c r="D362" s="349"/>
      <c r="E362" s="349"/>
      <c r="F362" s="349"/>
      <c r="G362" s="349"/>
      <c r="H362" s="349"/>
      <c r="I362" s="349"/>
      <c r="J362" s="349"/>
      <c r="K362" s="349"/>
      <c r="L362" s="349"/>
    </row>
    <row r="363" spans="1:20" s="157" customFormat="1" ht="15.75" customHeight="1">
      <c r="A363" s="156"/>
      <c r="B363" s="197" t="s">
        <v>409</v>
      </c>
      <c r="C363" s="197"/>
      <c r="D363" s="156"/>
      <c r="E363" s="156"/>
      <c r="F363" s="197"/>
      <c r="G363" s="198"/>
      <c r="H363" s="197"/>
      <c r="I363" s="169"/>
    </row>
    <row r="364" spans="1:20" s="159" customFormat="1" ht="15" customHeight="1">
      <c r="A364" s="154"/>
      <c r="B364" s="200">
        <v>0.26</v>
      </c>
      <c r="C364" s="168" t="s">
        <v>413</v>
      </c>
      <c r="D364" s="164"/>
      <c r="E364" s="165"/>
      <c r="F364" s="167"/>
      <c r="G364" s="164"/>
      <c r="H364" s="164"/>
      <c r="I364" s="192"/>
      <c r="J364" s="138"/>
      <c r="K364" s="139" t="s">
        <v>13</v>
      </c>
      <c r="L364" s="140">
        <v>6096</v>
      </c>
      <c r="M364" s="138" t="s">
        <v>414</v>
      </c>
      <c r="N364" s="139" t="s">
        <v>31</v>
      </c>
      <c r="O364" s="144">
        <f>B364*L364</f>
        <v>1584.96</v>
      </c>
    </row>
    <row r="365" spans="1:20" s="159" customFormat="1" ht="15.75">
      <c r="A365" s="162">
        <v>6</v>
      </c>
      <c r="B365" s="164" t="s">
        <v>415</v>
      </c>
      <c r="C365" s="164"/>
      <c r="D365" s="164"/>
      <c r="E365" s="164"/>
      <c r="F365" s="164"/>
      <c r="G365" s="164"/>
      <c r="H365" s="164"/>
      <c r="I365" s="161"/>
    </row>
    <row r="366" spans="1:20" s="159" customFormat="1" ht="15.75">
      <c r="A366" s="162"/>
      <c r="B366" s="164" t="s">
        <v>416</v>
      </c>
      <c r="C366" s="164"/>
      <c r="D366" s="164"/>
      <c r="E366" s="164"/>
      <c r="F366" s="164"/>
      <c r="G366" s="164"/>
      <c r="H366" s="164"/>
      <c r="I366" s="161"/>
    </row>
    <row r="367" spans="1:20" s="193" customFormat="1" ht="15.75">
      <c r="A367" s="154"/>
      <c r="B367" s="164" t="s">
        <v>417</v>
      </c>
      <c r="C367" s="165"/>
      <c r="D367" s="156"/>
      <c r="E367" s="156"/>
      <c r="F367" s="197"/>
      <c r="G367" s="198"/>
      <c r="H367" s="197"/>
      <c r="I367" s="169"/>
      <c r="J367" s="157"/>
      <c r="K367" s="157"/>
      <c r="L367" s="157"/>
      <c r="M367" s="157"/>
    </row>
    <row r="368" spans="1:20" s="159" customFormat="1" ht="15" customHeight="1">
      <c r="A368" s="154"/>
      <c r="B368" s="200">
        <v>0.53</v>
      </c>
      <c r="C368" s="168" t="s">
        <v>413</v>
      </c>
      <c r="D368" s="164"/>
      <c r="E368" s="165"/>
      <c r="F368" s="167"/>
      <c r="G368" s="164"/>
      <c r="H368" s="164"/>
      <c r="I368" s="192"/>
      <c r="J368" s="138"/>
      <c r="K368" s="139" t="s">
        <v>13</v>
      </c>
      <c r="L368" s="140">
        <v>6096</v>
      </c>
      <c r="M368" s="138" t="s">
        <v>414</v>
      </c>
      <c r="N368" s="139" t="s">
        <v>31</v>
      </c>
      <c r="O368" s="144">
        <f>B368*L368</f>
        <v>3230.88</v>
      </c>
    </row>
    <row r="369" spans="1:15" s="193" customFormat="1" ht="11.25" customHeight="1">
      <c r="A369" s="154"/>
      <c r="B369" s="164"/>
      <c r="C369" s="165"/>
      <c r="D369" s="156"/>
      <c r="E369" s="156"/>
      <c r="F369" s="197"/>
      <c r="G369" s="198"/>
      <c r="H369" s="197"/>
      <c r="I369" s="169"/>
      <c r="J369" s="157"/>
      <c r="K369" s="157"/>
      <c r="L369" s="199"/>
      <c r="M369" s="157"/>
    </row>
    <row r="370" spans="1:15" s="159" customFormat="1" ht="15.75">
      <c r="A370" s="162">
        <v>7</v>
      </c>
      <c r="B370" s="164" t="s">
        <v>285</v>
      </c>
      <c r="C370" s="164"/>
      <c r="D370" s="164"/>
      <c r="E370" s="164"/>
      <c r="F370" s="164"/>
      <c r="G370" s="164"/>
      <c r="H370" s="164"/>
      <c r="I370" s="161"/>
    </row>
    <row r="371" spans="1:15" s="159" customFormat="1" ht="15.75">
      <c r="A371" s="162"/>
      <c r="B371" s="164" t="s">
        <v>400</v>
      </c>
      <c r="C371" s="164"/>
      <c r="D371" s="164"/>
      <c r="E371" s="164"/>
      <c r="F371" s="164"/>
      <c r="G371" s="164"/>
      <c r="H371" s="164"/>
      <c r="I371" s="161"/>
    </row>
    <row r="372" spans="1:15" s="159" customFormat="1" ht="15" customHeight="1">
      <c r="A372" s="154"/>
      <c r="B372" s="200">
        <v>2</v>
      </c>
      <c r="C372" s="168" t="s">
        <v>391</v>
      </c>
      <c r="D372" s="164"/>
      <c r="E372" s="165"/>
      <c r="F372" s="167"/>
      <c r="G372" s="164"/>
      <c r="H372" s="164"/>
      <c r="I372" s="192"/>
      <c r="J372" s="138"/>
      <c r="K372" s="139" t="s">
        <v>13</v>
      </c>
      <c r="L372" s="140">
        <v>1543.75</v>
      </c>
      <c r="M372" s="138" t="s">
        <v>414</v>
      </c>
      <c r="N372" s="139" t="s">
        <v>31</v>
      </c>
      <c r="O372" s="144">
        <f>B372*L372</f>
        <v>3087.5</v>
      </c>
    </row>
    <row r="373" spans="1:15" s="159" customFormat="1" ht="15.75">
      <c r="A373" s="162">
        <v>8</v>
      </c>
      <c r="B373" s="164" t="s">
        <v>286</v>
      </c>
      <c r="C373" s="164"/>
      <c r="D373" s="164"/>
      <c r="E373" s="164"/>
      <c r="F373" s="164"/>
      <c r="G373" s="164"/>
      <c r="H373" s="164"/>
      <c r="I373" s="161"/>
    </row>
    <row r="374" spans="1:15" s="159" customFormat="1" ht="15.75">
      <c r="B374" s="164" t="s">
        <v>287</v>
      </c>
      <c r="C374" s="164"/>
      <c r="D374" s="164"/>
      <c r="E374" s="164"/>
      <c r="F374" s="164"/>
      <c r="G374" s="164"/>
      <c r="H374" s="164"/>
      <c r="I374" s="161"/>
    </row>
    <row r="375" spans="1:15" s="159" customFormat="1" ht="15.75">
      <c r="B375" s="164" t="s">
        <v>288</v>
      </c>
      <c r="C375" s="164"/>
      <c r="D375" s="164"/>
      <c r="E375" s="164"/>
      <c r="F375" s="164"/>
      <c r="G375" s="164"/>
      <c r="H375" s="164"/>
      <c r="I375" s="161"/>
    </row>
    <row r="376" spans="1:15" s="159" customFormat="1" ht="15.75">
      <c r="B376" s="164" t="s">
        <v>401</v>
      </c>
      <c r="C376" s="164"/>
      <c r="D376" s="164"/>
      <c r="E376" s="164"/>
      <c r="F376" s="164"/>
      <c r="G376" s="164"/>
      <c r="H376" s="164"/>
      <c r="I376" s="161"/>
    </row>
    <row r="377" spans="1:15" s="193" customFormat="1" ht="15.75">
      <c r="A377" s="154"/>
      <c r="B377" s="164" t="s">
        <v>384</v>
      </c>
      <c r="C377" s="166"/>
      <c r="D377" s="164"/>
      <c r="E377" s="165"/>
      <c r="F377" s="164"/>
      <c r="G377" s="164"/>
      <c r="H377" s="164"/>
      <c r="I377" s="192"/>
      <c r="J377" s="155"/>
      <c r="K377" s="155"/>
      <c r="M377" s="202"/>
    </row>
    <row r="378" spans="1:15" s="159" customFormat="1" ht="15" customHeight="1">
      <c r="A378" s="154"/>
      <c r="B378" s="201">
        <v>16</v>
      </c>
      <c r="C378" s="168" t="s">
        <v>391</v>
      </c>
      <c r="D378" s="164"/>
      <c r="E378" s="165"/>
      <c r="F378" s="167"/>
      <c r="G378" s="164"/>
      <c r="H378" s="164"/>
      <c r="I378" s="192"/>
      <c r="J378" s="138"/>
      <c r="K378" s="139" t="s">
        <v>13</v>
      </c>
      <c r="L378" s="140">
        <v>499</v>
      </c>
      <c r="M378" s="138" t="s">
        <v>418</v>
      </c>
      <c r="N378" s="139" t="s">
        <v>31</v>
      </c>
      <c r="O378" s="144">
        <f>B378*L378</f>
        <v>7984</v>
      </c>
    </row>
    <row r="379" spans="1:15" s="159" customFormat="1" ht="10.5" customHeight="1">
      <c r="B379" s="164"/>
      <c r="C379" s="164"/>
      <c r="D379" s="164"/>
      <c r="E379" s="164"/>
      <c r="F379" s="164"/>
      <c r="G379" s="164"/>
      <c r="H379" s="164"/>
      <c r="I379" s="160"/>
      <c r="K379" s="160"/>
      <c r="N379" s="203"/>
      <c r="O379" s="203"/>
    </row>
    <row r="380" spans="1:15" s="194" customFormat="1" ht="15.75">
      <c r="I380" s="204"/>
      <c r="J380" s="205"/>
      <c r="M380" s="194" t="s">
        <v>398</v>
      </c>
      <c r="N380" s="194" t="s">
        <v>371</v>
      </c>
      <c r="O380" s="206">
        <f>SUM(O356:O379)</f>
        <v>35015.339999999997</v>
      </c>
    </row>
    <row r="381" spans="1:15" s="30" customFormat="1" ht="15.75">
      <c r="I381" s="191"/>
      <c r="J381" s="189"/>
    </row>
    <row r="382" spans="1:15" s="30" customFormat="1" ht="15.75" customHeight="1">
      <c r="A382" s="350"/>
      <c r="B382" s="350"/>
      <c r="C382" s="350"/>
      <c r="D382" s="350"/>
      <c r="E382" s="350"/>
      <c r="F382" s="350"/>
      <c r="G382" s="350"/>
      <c r="H382" s="350"/>
      <c r="I382" s="350"/>
      <c r="J382" s="350"/>
      <c r="K382" s="350"/>
      <c r="L382" s="350"/>
      <c r="M382" s="350"/>
      <c r="N382" s="350"/>
      <c r="O382" s="350"/>
    </row>
    <row r="383" spans="1:15" s="30" customFormat="1" ht="20.25" customHeight="1">
      <c r="A383" s="346" t="s">
        <v>419</v>
      </c>
      <c r="B383" s="346"/>
      <c r="C383" s="346"/>
      <c r="D383" s="346"/>
      <c r="E383" s="346"/>
      <c r="F383" s="346"/>
      <c r="G383" s="346"/>
      <c r="H383" s="346"/>
      <c r="I383" s="346"/>
      <c r="J383" s="346"/>
      <c r="K383" s="346"/>
      <c r="L383" s="346"/>
      <c r="M383" s="346"/>
      <c r="N383" s="346"/>
      <c r="O383" s="346"/>
    </row>
    <row r="384" spans="1:15" s="227" customFormat="1" ht="22.5" customHeight="1">
      <c r="B384" s="262" t="s">
        <v>488</v>
      </c>
      <c r="C384" s="335" t="s">
        <v>489</v>
      </c>
      <c r="D384" s="335"/>
      <c r="E384" s="335"/>
      <c r="F384" s="335"/>
      <c r="G384" s="336" t="s">
        <v>490</v>
      </c>
      <c r="H384" s="337"/>
      <c r="I384" s="337"/>
      <c r="J384" s="337"/>
      <c r="K384" s="338"/>
      <c r="L384" s="336" t="s">
        <v>491</v>
      </c>
      <c r="M384" s="338"/>
      <c r="N384" s="329" t="s">
        <v>398</v>
      </c>
      <c r="O384" s="329"/>
    </row>
    <row r="385" spans="2:28" s="263" customFormat="1" ht="21.75" customHeight="1">
      <c r="B385" s="264">
        <v>1</v>
      </c>
      <c r="C385" s="330" t="s">
        <v>507</v>
      </c>
      <c r="D385" s="331"/>
      <c r="E385" s="331"/>
      <c r="F385" s="332"/>
      <c r="G385" s="333">
        <f>O43</f>
        <v>323094.2</v>
      </c>
      <c r="H385" s="334"/>
      <c r="I385" s="334"/>
      <c r="J385" s="334"/>
      <c r="K385" s="334"/>
      <c r="L385" s="334">
        <v>0</v>
      </c>
      <c r="M385" s="334"/>
      <c r="N385" s="265" t="s">
        <v>7</v>
      </c>
      <c r="O385" s="266">
        <f>G385+L385</f>
        <v>323094.2</v>
      </c>
    </row>
    <row r="386" spans="2:28" s="263" customFormat="1" ht="21.75" customHeight="1">
      <c r="B386" s="264">
        <v>2</v>
      </c>
      <c r="C386" s="330" t="s">
        <v>498</v>
      </c>
      <c r="D386" s="331"/>
      <c r="E386" s="331"/>
      <c r="F386" s="332"/>
      <c r="G386" s="333">
        <f>O163</f>
        <v>436572.97303000011</v>
      </c>
      <c r="H386" s="334"/>
      <c r="I386" s="334"/>
      <c r="J386" s="334"/>
      <c r="K386" s="334"/>
      <c r="L386" s="334">
        <v>0</v>
      </c>
      <c r="M386" s="334"/>
      <c r="N386" s="265" t="s">
        <v>7</v>
      </c>
      <c r="O386" s="266">
        <f>G386+L386</f>
        <v>436572.97303000011</v>
      </c>
    </row>
    <row r="387" spans="2:28" s="263" customFormat="1" ht="21.75" customHeight="1">
      <c r="B387" s="264">
        <v>3</v>
      </c>
      <c r="C387" s="330" t="s">
        <v>499</v>
      </c>
      <c r="D387" s="331"/>
      <c r="E387" s="331"/>
      <c r="F387" s="332"/>
      <c r="G387" s="333">
        <v>1017808</v>
      </c>
      <c r="H387" s="334"/>
      <c r="I387" s="334"/>
      <c r="J387" s="334"/>
      <c r="K387" s="334"/>
      <c r="L387" s="334">
        <v>0</v>
      </c>
      <c r="M387" s="334"/>
      <c r="N387" s="265" t="s">
        <v>7</v>
      </c>
      <c r="O387" s="266">
        <f>G387+L387</f>
        <v>1017808</v>
      </c>
    </row>
    <row r="388" spans="2:28" s="263" customFormat="1" ht="21.75" customHeight="1">
      <c r="B388" s="264">
        <v>4</v>
      </c>
      <c r="C388" s="330" t="s">
        <v>422</v>
      </c>
      <c r="D388" s="331"/>
      <c r="E388" s="331"/>
      <c r="F388" s="332"/>
      <c r="G388" s="333">
        <v>1210129</v>
      </c>
      <c r="H388" s="334"/>
      <c r="I388" s="334"/>
      <c r="J388" s="334"/>
      <c r="K388" s="334"/>
      <c r="L388" s="334">
        <v>0</v>
      </c>
      <c r="M388" s="334"/>
      <c r="N388" s="265" t="s">
        <v>7</v>
      </c>
      <c r="O388" s="266">
        <f>G388+L388</f>
        <v>1210129</v>
      </c>
    </row>
    <row r="389" spans="2:28" s="263" customFormat="1" ht="21.75" customHeight="1">
      <c r="B389" s="264">
        <v>5</v>
      </c>
      <c r="C389" s="330" t="s">
        <v>506</v>
      </c>
      <c r="D389" s="331"/>
      <c r="E389" s="331"/>
      <c r="F389" s="332"/>
      <c r="G389" s="333">
        <f>O346</f>
        <v>460936</v>
      </c>
      <c r="H389" s="334"/>
      <c r="I389" s="334"/>
      <c r="J389" s="334"/>
      <c r="K389" s="334"/>
      <c r="L389" s="334">
        <v>0</v>
      </c>
      <c r="M389" s="334"/>
      <c r="N389" s="265" t="s">
        <v>7</v>
      </c>
      <c r="O389" s="266">
        <f>G389+L389</f>
        <v>460936</v>
      </c>
    </row>
    <row r="390" spans="2:28" s="263" customFormat="1" ht="21.75" customHeight="1">
      <c r="B390" s="264">
        <v>6</v>
      </c>
      <c r="C390" s="330" t="s">
        <v>500</v>
      </c>
      <c r="D390" s="331"/>
      <c r="E390" s="331"/>
      <c r="F390" s="332"/>
      <c r="G390" s="333">
        <v>36260</v>
      </c>
      <c r="H390" s="334"/>
      <c r="I390" s="334"/>
      <c r="J390" s="334"/>
      <c r="K390" s="334"/>
      <c r="L390" s="333">
        <v>2112762</v>
      </c>
      <c r="M390" s="334"/>
      <c r="N390" s="265" t="s">
        <v>7</v>
      </c>
      <c r="O390" s="266">
        <f>L390</f>
        <v>2112762</v>
      </c>
    </row>
    <row r="391" spans="2:28" s="267" customFormat="1" ht="27" customHeight="1">
      <c r="B391" s="268"/>
      <c r="C391" s="339" t="s">
        <v>492</v>
      </c>
      <c r="D391" s="340"/>
      <c r="E391" s="340"/>
      <c r="F391" s="341"/>
      <c r="G391" s="342">
        <f>SUM(G385:G390)</f>
        <v>3484800.1730300002</v>
      </c>
      <c r="H391" s="343"/>
      <c r="I391" s="343"/>
      <c r="J391" s="343"/>
      <c r="K391" s="343"/>
      <c r="L391" s="344">
        <f>SUM(L390)</f>
        <v>2112762</v>
      </c>
      <c r="M391" s="345"/>
      <c r="N391" s="269" t="s">
        <v>7</v>
      </c>
      <c r="O391" s="270">
        <f>SUM(O385:O390)</f>
        <v>5561302.1730300002</v>
      </c>
      <c r="AA391" s="282"/>
      <c r="AB391" s="267" t="s">
        <v>510</v>
      </c>
    </row>
    <row r="392" spans="2:28" s="207" customFormat="1" ht="15.75" customHeight="1">
      <c r="B392" s="271"/>
      <c r="C392" s="272"/>
      <c r="D392" s="272"/>
      <c r="E392" s="272"/>
      <c r="F392" s="272"/>
      <c r="G392" s="273"/>
      <c r="H392" s="272"/>
      <c r="I392" s="272"/>
      <c r="J392" s="272"/>
      <c r="K392" s="272"/>
      <c r="L392" s="274"/>
      <c r="M392" s="275"/>
      <c r="N392" s="276"/>
      <c r="O392" s="274"/>
    </row>
    <row r="393" spans="2:28" s="227" customFormat="1" ht="15.75" customHeight="1">
      <c r="B393" s="227" t="s">
        <v>493</v>
      </c>
      <c r="L393" s="277"/>
      <c r="M393" s="278"/>
      <c r="N393" s="276"/>
      <c r="O393" s="279"/>
    </row>
    <row r="394" spans="2:28" s="227" customFormat="1" ht="15.75" customHeight="1">
      <c r="B394" s="280" t="s">
        <v>494</v>
      </c>
      <c r="K394" s="328" t="s">
        <v>495</v>
      </c>
      <c r="L394" s="328"/>
      <c r="M394" s="328"/>
      <c r="N394" s="328"/>
      <c r="O394" s="328"/>
    </row>
    <row r="395" spans="2:28" s="227" customFormat="1" ht="15.75" customHeight="1">
      <c r="K395" s="328" t="s">
        <v>496</v>
      </c>
      <c r="L395" s="328"/>
      <c r="M395" s="328"/>
      <c r="N395" s="328"/>
      <c r="O395" s="328"/>
    </row>
    <row r="396" spans="2:28" s="227" customFormat="1" ht="15.75" customHeight="1">
      <c r="D396" s="227" t="s">
        <v>497</v>
      </c>
      <c r="L396" s="277"/>
      <c r="M396" s="278"/>
      <c r="N396" s="276"/>
      <c r="O396" s="279"/>
    </row>
    <row r="397" spans="2:28" s="207" customFormat="1">
      <c r="O397" s="223"/>
    </row>
    <row r="398" spans="2:28" s="207" customFormat="1">
      <c r="O398" s="223"/>
    </row>
    <row r="399" spans="2:28" s="207" customFormat="1">
      <c r="O399" s="223"/>
    </row>
    <row r="400" spans="2:28" s="207" customFormat="1" ht="15.75">
      <c r="B400" s="207" t="s">
        <v>34</v>
      </c>
      <c r="K400" s="306" t="s">
        <v>470</v>
      </c>
      <c r="L400" s="306"/>
      <c r="M400" s="306"/>
      <c r="N400" s="306"/>
      <c r="O400" s="223"/>
    </row>
    <row r="401" spans="9:15" s="207" customFormat="1" ht="15.75">
      <c r="K401" s="306" t="s">
        <v>420</v>
      </c>
      <c r="L401" s="306"/>
      <c r="M401" s="306"/>
      <c r="N401" s="306"/>
      <c r="O401" s="223"/>
    </row>
    <row r="402" spans="9:15" s="227" customFormat="1" ht="18">
      <c r="K402" s="306" t="s">
        <v>372</v>
      </c>
      <c r="L402" s="306"/>
      <c r="M402" s="306"/>
      <c r="N402" s="306"/>
      <c r="O402" s="281"/>
    </row>
    <row r="403" spans="9:15" s="194" customFormat="1" ht="15.75">
      <c r="I403" s="204"/>
      <c r="J403" s="205"/>
      <c r="L403" s="206"/>
    </row>
  </sheetData>
  <mergeCells count="130">
    <mergeCell ref="U344:W344"/>
    <mergeCell ref="C336:D336"/>
    <mergeCell ref="U336:V336"/>
    <mergeCell ref="C339:D339"/>
    <mergeCell ref="U339:V339"/>
    <mergeCell ref="C310:D310"/>
    <mergeCell ref="U310:V310"/>
    <mergeCell ref="C343:D343"/>
    <mergeCell ref="C332:D332"/>
    <mergeCell ref="U332:V332"/>
    <mergeCell ref="E334:G334"/>
    <mergeCell ref="H334:I334"/>
    <mergeCell ref="C321:D321"/>
    <mergeCell ref="U321:V321"/>
    <mergeCell ref="U343:V343"/>
    <mergeCell ref="B302:N302"/>
    <mergeCell ref="C304:D304"/>
    <mergeCell ref="U304:V304"/>
    <mergeCell ref="C306:D306"/>
    <mergeCell ref="U306:V306"/>
    <mergeCell ref="C325:D325"/>
    <mergeCell ref="U325:V325"/>
    <mergeCell ref="C316:D316"/>
    <mergeCell ref="U316:V316"/>
    <mergeCell ref="C269:D269"/>
    <mergeCell ref="U269:V269"/>
    <mergeCell ref="C279:D279"/>
    <mergeCell ref="U279:V279"/>
    <mergeCell ref="P269:R269"/>
    <mergeCell ref="P279:R279"/>
    <mergeCell ref="C295:D295"/>
    <mergeCell ref="U295:V295"/>
    <mergeCell ref="C300:D300"/>
    <mergeCell ref="U300:V300"/>
    <mergeCell ref="C286:D286"/>
    <mergeCell ref="U286:V286"/>
    <mergeCell ref="C291:D291"/>
    <mergeCell ref="U291:V291"/>
    <mergeCell ref="C249:D249"/>
    <mergeCell ref="U249:V249"/>
    <mergeCell ref="C255:D255"/>
    <mergeCell ref="U255:V255"/>
    <mergeCell ref="P249:R249"/>
    <mergeCell ref="P255:R255"/>
    <mergeCell ref="C260:D260"/>
    <mergeCell ref="U260:V260"/>
    <mergeCell ref="C265:D265"/>
    <mergeCell ref="U265:V265"/>
    <mergeCell ref="P260:R260"/>
    <mergeCell ref="P265:R265"/>
    <mergeCell ref="B236:C236"/>
    <mergeCell ref="C244:D244"/>
    <mergeCell ref="P244:R244"/>
    <mergeCell ref="U244:V244"/>
    <mergeCell ref="B202:C202"/>
    <mergeCell ref="B204:M204"/>
    <mergeCell ref="B212:C212"/>
    <mergeCell ref="B235:C235"/>
    <mergeCell ref="L235:M235"/>
    <mergeCell ref="B22:L22"/>
    <mergeCell ref="F85:G85"/>
    <mergeCell ref="B164:M164"/>
    <mergeCell ref="B171:C171"/>
    <mergeCell ref="B201:C201"/>
    <mergeCell ref="L201:M201"/>
    <mergeCell ref="F43:H43"/>
    <mergeCell ref="B21:C21"/>
    <mergeCell ref="B24:C24"/>
    <mergeCell ref="B32:C32"/>
    <mergeCell ref="F346:H346"/>
    <mergeCell ref="A1:O1"/>
    <mergeCell ref="A2:D2"/>
    <mergeCell ref="E2:O2"/>
    <mergeCell ref="B7:M7"/>
    <mergeCell ref="B13:C13"/>
    <mergeCell ref="B9:L9"/>
    <mergeCell ref="B11:C11"/>
    <mergeCell ref="C4:K4"/>
    <mergeCell ref="N4:O4"/>
    <mergeCell ref="C5:K5"/>
    <mergeCell ref="N5:O5"/>
    <mergeCell ref="B46:G46"/>
    <mergeCell ref="B26:L26"/>
    <mergeCell ref="B28:C28"/>
    <mergeCell ref="B30:L30"/>
    <mergeCell ref="B17:C17"/>
    <mergeCell ref="B34:L34"/>
    <mergeCell ref="B36:C36"/>
    <mergeCell ref="B38:L38"/>
    <mergeCell ref="G163:I163"/>
    <mergeCell ref="B40:C40"/>
    <mergeCell ref="B15:L15"/>
    <mergeCell ref="B19:L19"/>
    <mergeCell ref="C389:F389"/>
    <mergeCell ref="G389:K389"/>
    <mergeCell ref="L389:M389"/>
    <mergeCell ref="C390:F390"/>
    <mergeCell ref="G390:K390"/>
    <mergeCell ref="L390:M390"/>
    <mergeCell ref="A383:O383"/>
    <mergeCell ref="A348:I348"/>
    <mergeCell ref="B349:M349"/>
    <mergeCell ref="B354:L354"/>
    <mergeCell ref="B358:L358"/>
    <mergeCell ref="B362:L362"/>
    <mergeCell ref="A382:O382"/>
    <mergeCell ref="K394:O394"/>
    <mergeCell ref="K395:O395"/>
    <mergeCell ref="K400:N400"/>
    <mergeCell ref="K401:N401"/>
    <mergeCell ref="K402:N402"/>
    <mergeCell ref="N384:O384"/>
    <mergeCell ref="C385:F385"/>
    <mergeCell ref="G385:K385"/>
    <mergeCell ref="L385:M385"/>
    <mergeCell ref="C386:F386"/>
    <mergeCell ref="G386:K386"/>
    <mergeCell ref="L386:M386"/>
    <mergeCell ref="C387:F387"/>
    <mergeCell ref="G387:K387"/>
    <mergeCell ref="L387:M387"/>
    <mergeCell ref="C388:F388"/>
    <mergeCell ref="G388:K388"/>
    <mergeCell ref="L388:M388"/>
    <mergeCell ref="C384:F384"/>
    <mergeCell ref="G384:K384"/>
    <mergeCell ref="L384:M384"/>
    <mergeCell ref="C391:F391"/>
    <mergeCell ref="G391:K391"/>
    <mergeCell ref="L391:M391"/>
  </mergeCells>
  <pageMargins left="0.55000000000000004" right="0.22" top="0.43" bottom="0.28999999999999998" header="0.28999999999999998" footer="0.23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 </vt:lpstr>
      <vt:lpstr>Design</vt:lpstr>
      <vt:lpstr>D.WORK</vt:lpstr>
      <vt:lpstr>M.stat</vt:lpstr>
      <vt:lpstr>S.Quarter</vt:lpstr>
      <vt:lpstr>S.Mat</vt:lpstr>
      <vt:lpstr>C.Wall</vt:lpstr>
      <vt:lpstr>M.State</vt:lpstr>
      <vt:lpstr>BOQ</vt:lpstr>
    </vt:vector>
  </TitlesOfParts>
  <Company>Ihsan Computers Dadu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sarang</dc:creator>
  <cp:lastModifiedBy>Digital Computers</cp:lastModifiedBy>
  <cp:lastPrinted>2016-03-10T19:04:01Z</cp:lastPrinted>
  <dcterms:created xsi:type="dcterms:W3CDTF">2008-06-19T18:15:50Z</dcterms:created>
  <dcterms:modified xsi:type="dcterms:W3CDTF">2016-03-10T21:23:09Z</dcterms:modified>
</cp:coreProperties>
</file>